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120" tabRatio="861" activeTab="5"/>
  </bookViews>
  <sheets>
    <sheet name="Details" sheetId="1" r:id="rId1"/>
    <sheet name="Sp Speed" sheetId="2" r:id="rId2"/>
    <sheet name="Suction Sp Speed" sheetId="3" r:id="rId3"/>
    <sheet name="AttainableEfficiency_EnergyLoad" sheetId="4" r:id="rId4"/>
    <sheet name="Motor Rating" sheetId="5" r:id="rId5"/>
    <sheet name="CRANE Capacity" sheetId="6" r:id="rId6"/>
  </sheets>
  <definedNames>
    <definedName name="_xlnm.Print_Area" localSheetId="3">'AttainableEfficiency_EnergyLoad'!$A$1:$I$69</definedName>
    <definedName name="_xlnm.Print_Area" localSheetId="0">'Details'!$A$1:$D$14</definedName>
    <definedName name="_xlnm.Print_Area" localSheetId="4">'Motor Rating'!$A$1:$I$22</definedName>
    <definedName name="_xlnm.Print_Area" localSheetId="1">'Sp Speed'!$A$1:$G$26</definedName>
  </definedNames>
  <calcPr fullCalcOnLoad="1"/>
</workbook>
</file>

<file path=xl/sharedStrings.xml><?xml version="1.0" encoding="utf-8"?>
<sst xmlns="http://schemas.openxmlformats.org/spreadsheetml/2006/main" count="370" uniqueCount="183">
  <si>
    <t>mm</t>
  </si>
  <si>
    <t>MLD</t>
  </si>
  <si>
    <t>m</t>
  </si>
  <si>
    <t>where</t>
  </si>
  <si>
    <t>Details</t>
  </si>
  <si>
    <t>C value adopted for design purpose</t>
  </si>
  <si>
    <t>S.No.</t>
  </si>
  <si>
    <t>Size of  DI Pipeline</t>
  </si>
  <si>
    <t>=</t>
  </si>
  <si>
    <t>Q</t>
  </si>
  <si>
    <t>Discharge in US gallon/min</t>
  </si>
  <si>
    <t xml:space="preserve">H </t>
  </si>
  <si>
    <t>N</t>
  </si>
  <si>
    <t>Motor speed in rpm</t>
  </si>
  <si>
    <t>For present case</t>
  </si>
  <si>
    <t>US gallon/min</t>
  </si>
  <si>
    <t>feets</t>
  </si>
  <si>
    <t>say</t>
  </si>
  <si>
    <t>Generally Attainable Efficiency</t>
  </si>
  <si>
    <t>i) Calculation of Overall Efficiency of Pump Set</t>
  </si>
  <si>
    <t xml:space="preserve">Motor Efficiency </t>
  </si>
  <si>
    <t>( Assuming energy efficient motors)</t>
  </si>
  <si>
    <t>Pump Efficiency</t>
  </si>
  <si>
    <t>Overall Efficiency</t>
  </si>
  <si>
    <t>9.81QH / n</t>
  </si>
  <si>
    <t>H</t>
  </si>
  <si>
    <t>Discharge head in m</t>
  </si>
  <si>
    <t>n</t>
  </si>
  <si>
    <t>Overall Efficiency of Pump Set</t>
  </si>
  <si>
    <t>KW</t>
  </si>
  <si>
    <t>iii) Calculation of Additional Power Charges</t>
  </si>
  <si>
    <t xml:space="preserve">Additional Annual Power charges for lower efficiency </t>
  </si>
  <si>
    <t>Differential KW x Annual Working hours x Power Tariff</t>
  </si>
  <si>
    <t xml:space="preserve">Differential KW </t>
  </si>
  <si>
    <t>(Prescribed Eff - Tendered Eff ) x KW input of Motor / Tendered Eff</t>
  </si>
  <si>
    <t xml:space="preserve">Capitalised Additional Power charges for lower efficiency </t>
  </si>
  <si>
    <t>Additional Annual Power charges  x Annuity Factor</t>
  </si>
  <si>
    <t>3) Annuity Factor</t>
  </si>
  <si>
    <t>Annuity Factor</t>
  </si>
  <si>
    <t>R = discounting rate = 10%</t>
  </si>
  <si>
    <t>For 1% less effieciency</t>
  </si>
  <si>
    <t xml:space="preserve">Differential KW  </t>
  </si>
  <si>
    <t>(Rs.)</t>
  </si>
  <si>
    <t xml:space="preserve">Capitalised Additional Power charges </t>
  </si>
  <si>
    <t>For each percentage point of less efficiency.</t>
  </si>
  <si>
    <t>l/s</t>
  </si>
  <si>
    <t>rpm</t>
  </si>
  <si>
    <t>Design Head</t>
  </si>
  <si>
    <t>Pumping Hours</t>
  </si>
  <si>
    <t>hrs</t>
  </si>
  <si>
    <t>Specific Speed</t>
  </si>
  <si>
    <t>No of Working Pumps</t>
  </si>
  <si>
    <t>No of Stages</t>
  </si>
  <si>
    <t>Discharge head in feet per stage</t>
  </si>
  <si>
    <t>Motor Speed in rpm</t>
  </si>
  <si>
    <t>Motor Speed (RPM)</t>
  </si>
  <si>
    <t xml:space="preserve"> Minimum Water Level in CWR </t>
  </si>
  <si>
    <t xml:space="preserve">Minimum Submergence required as per HIS </t>
  </si>
  <si>
    <t xml:space="preserve">Bottom level of wet well </t>
  </si>
  <si>
    <t xml:space="preserve">Suction Bell mouth Diameter: </t>
  </si>
  <si>
    <t xml:space="preserve">Design Velocity </t>
  </si>
  <si>
    <t xml:space="preserve"> m/s</t>
  </si>
  <si>
    <t xml:space="preserve">Clearance Below suction Bell Mouth (C) as per HIS        </t>
  </si>
  <si>
    <t xml:space="preserve">i) Minimum Level in wet well </t>
  </si>
  <si>
    <t xml:space="preserve">ii) Level of suction Bell Mouth </t>
  </si>
  <si>
    <t xml:space="preserve">iii) Elevation of eye of impeller </t>
  </si>
  <si>
    <t>{assumed 0.3 m above (ii)}</t>
  </si>
  <si>
    <t>iv)  Submergence above</t>
  </si>
  <si>
    <t xml:space="preserve">eye of impeller [(i) – (iii) ] </t>
  </si>
  <si>
    <t>v)Losses at inlet Bell mouth(assumed)</t>
  </si>
  <si>
    <t>vi)Vapor pressure at 320C water temperature (Vp) =</t>
  </si>
  <si>
    <t>vii)Atmosph. Pressure</t>
  </si>
  <si>
    <t xml:space="preserve">NPSH available </t>
  </si>
  <si>
    <t>(vii +iv - v - vi )</t>
  </si>
  <si>
    <t>ft</t>
  </si>
  <si>
    <t xml:space="preserve">m per stage </t>
  </si>
  <si>
    <t>Discharge in US gallon/min per Pump</t>
  </si>
  <si>
    <t>ii) Motor Power Input Required</t>
  </si>
  <si>
    <t>LPS</t>
  </si>
  <si>
    <t>Discharge in LPS</t>
  </si>
  <si>
    <t xml:space="preserve">Pump Discharge </t>
  </si>
  <si>
    <t>hours</t>
  </si>
  <si>
    <t>1) Life of Pumpsets is 15 yrs as per CPHEEO mannual.</t>
  </si>
  <si>
    <t>Motor Power Input Required</t>
  </si>
  <si>
    <t>Discharge per Pump (US GPM)</t>
  </si>
  <si>
    <t>Pumping Head (ft)</t>
  </si>
  <si>
    <t>Pumping Head per Stage (feet)</t>
  </si>
  <si>
    <t>Design Discharge</t>
  </si>
  <si>
    <t>kg</t>
  </si>
  <si>
    <t xml:space="preserve">ii) Weight of line shaft and coupling, </t>
  </si>
  <si>
    <t>viii) Weight of water in column pipe and bowl assembly</t>
  </si>
  <si>
    <t>Pump – 3</t>
  </si>
  <si>
    <t>Motor – 2</t>
  </si>
  <si>
    <t>Bowl Assembly</t>
  </si>
  <si>
    <t>Line Shaft and Bearings</t>
  </si>
  <si>
    <t>Motor</t>
  </si>
  <si>
    <t>Column Pipe and Flanges</t>
  </si>
  <si>
    <t xml:space="preserve">Other </t>
  </si>
  <si>
    <t>Keeping margin about 20 % for unaccounted dynamic load for vibrations, pulsations etc.</t>
  </si>
  <si>
    <t>Design dynamic load</t>
  </si>
  <si>
    <t>Maximum weight to be handled by crane</t>
  </si>
  <si>
    <t>Kg</t>
  </si>
  <si>
    <t xml:space="preserve"> Considering 25 % over loading</t>
  </si>
  <si>
    <t xml:space="preserve">= </t>
  </si>
  <si>
    <t xml:space="preserve">                                  </t>
  </si>
  <si>
    <t xml:space="preserve"> </t>
  </si>
  <si>
    <t>iii) Line Shaft Bearings (Approx)</t>
  </si>
  <si>
    <t>iv) Weight of Column Pipe and Flanges</t>
  </si>
  <si>
    <t xml:space="preserve">vii) Weight of Structural steel and Sole Plate </t>
  </si>
  <si>
    <t>Dynamic Factors for Pump, Motor etc are as follows</t>
  </si>
  <si>
    <t>Based on above the Dynamic Factors considered are</t>
  </si>
  <si>
    <t xml:space="preserve">Hence Dynamic Load of Pump – Motor Set </t>
  </si>
  <si>
    <t>= (i) x 3 + (ii) x 3 + (iii) x 3 + (iv) x 1.5 + (v) x 1.5 +(vi) x 2 +(vii) x 1 + (viii) x 1</t>
  </si>
  <si>
    <t>(D = 350 mm, L = 6.0 m)</t>
  </si>
  <si>
    <t xml:space="preserve">As per IS 2974 (Part IV)- 1979, Code of Practice for Design and Construction of Machine </t>
  </si>
  <si>
    <t xml:space="preserve">These are basically applicable for Centrifugal Pumps. Judicious assumptions are necessary for VT Pumps.  </t>
  </si>
  <si>
    <t>Discharge Head / Motor Stool</t>
  </si>
  <si>
    <t>b) Crane Capacity</t>
  </si>
  <si>
    <t>(Length 5.0 m, Thickness 8mm, Dia 500 mm, Flanges 4 No)</t>
  </si>
  <si>
    <t>Bottom Level  + Clearance</t>
  </si>
  <si>
    <t xml:space="preserve">Calculation of Specific Speed for Different Speeds &amp; Number of Stages </t>
  </si>
  <si>
    <t>Proposed Loading for Lower Efficiency</t>
  </si>
  <si>
    <t>1. 110% of Input Power requirement at duty point.</t>
  </si>
  <si>
    <t>The motor rating shall be higher of the following:</t>
  </si>
  <si>
    <t>2. Maximum Power requirement in the entire working range of the pump.</t>
  </si>
  <si>
    <t>ii) Discharge Head Weight (Assumed)</t>
  </si>
  <si>
    <t xml:space="preserve">Greater of (i) &amp; (ii) </t>
  </si>
  <si>
    <t xml:space="preserve">As per American National Standard Institute Hydraulic Institute  New Jersey, the Suction Specific Speed for V.T. Pumps should be in the vicinity of 8500 for attaining optimum efficiency. Therefore in the present case the duty requirements are to be fixed in such a way so that the Suction Specific Speed be around 8500. </t>
  </si>
  <si>
    <t xml:space="preserve">Net Positive Suction Head Available in feet </t>
  </si>
  <si>
    <t>feet</t>
  </si>
  <si>
    <t xml:space="preserve">Net Positive Suction Head </t>
  </si>
  <si>
    <t>Suction Lift permissible</t>
  </si>
  <si>
    <t>= Atmospheric Pressure in m - NPSHA</t>
  </si>
  <si>
    <t xml:space="preserve">Net Positive Suction Head Available (NPSHa) Required 8500 Suction Specific Speed </t>
  </si>
  <si>
    <t>a) Static Load of Pump Motor Set</t>
  </si>
  <si>
    <t>Provide crane of 5000 kg ( 5.0 T ) safe working load.</t>
  </si>
  <si>
    <t>No credit is proposed in the bid evaluation for efficiency offered beyond 88% (without negative tolerance). However we can levy compensation for offering pumps with efficiency less than 88% for each percentage efficiency point.</t>
  </si>
  <si>
    <t>0.94 x 0.88</t>
  </si>
  <si>
    <t>n = no of years =15 yrs</t>
  </si>
  <si>
    <t>4) Power Tariff = Rs. 4.75 per unit</t>
  </si>
  <si>
    <t>For present case of Double suction Pump</t>
  </si>
  <si>
    <t>As per American Standard for DS Centrifugal Pumps issued by Hydraulic Institute  New Jersey, the specific speed for  Pumps should be in the range of 2000 to 3000 for attaining optimum efficiency and in the present case the specific speed is within the range specified above.</t>
  </si>
  <si>
    <t>i) Weight of pump assembly (from Kirloskar cataloge approx)</t>
  </si>
  <si>
    <t>FSL of CWR</t>
  </si>
  <si>
    <t>Bed Level of CWR</t>
  </si>
  <si>
    <t>300 to 1000</t>
  </si>
  <si>
    <t>Average Operating Head for pumps</t>
  </si>
  <si>
    <t>Calculation of Specific Speed with different combinations(Items 1 to 5 are VT pumps and items 6&amp;7 are Double Suction HSC pumps)</t>
  </si>
  <si>
    <t>Thus provide minimum subermergence for Bowl of VT pump</t>
  </si>
  <si>
    <t>Length of Pipeline</t>
  </si>
  <si>
    <t xml:space="preserve">Now as Initail Discharge = 59 MLD &amp; Final Discharge = 80 MLD therefore Avg Discharge = 69.5 MLD Average pumping hours for each pump =69.5x23/80=19.98 hours </t>
  </si>
  <si>
    <t xml:space="preserve">2) Pumping hours per day = 23 hrs.                                                                                                                </t>
  </si>
  <si>
    <t>However as 3 units of pumps are provided (2 working + 1 standby), therefore pumping hours for single pump will be 19.98 x 2 / 3 = 13.33 hrs</t>
  </si>
  <si>
    <t>Annual Hours of operation of each pump  = 13.33 x 365.25 = 4868.78 hrs</t>
  </si>
  <si>
    <t>(603.86 x 9.81 x 48) / (0.825x 1000)</t>
  </si>
  <si>
    <t>(82.5 -81.5) x 345 / 82.5</t>
  </si>
  <si>
    <t>4.1818x4868.78x4.75</t>
  </si>
  <si>
    <t>96712 x  7.606</t>
  </si>
  <si>
    <t xml:space="preserve">ii) Weight of 380 kW motor </t>
  </si>
  <si>
    <t>Value</t>
  </si>
  <si>
    <t>Units</t>
  </si>
  <si>
    <r>
      <t>Specific Speed  N</t>
    </r>
    <r>
      <rPr>
        <vertAlign val="subscript"/>
        <sz val="10"/>
        <rFont val="Times New Roman"/>
        <family val="1"/>
      </rPr>
      <t>s</t>
    </r>
    <r>
      <rPr>
        <sz val="10"/>
        <rFont val="Times New Roman"/>
        <family val="1"/>
      </rPr>
      <t xml:space="preserve"> </t>
    </r>
  </si>
  <si>
    <r>
      <t>N x (Q)</t>
    </r>
    <r>
      <rPr>
        <vertAlign val="superscript"/>
        <sz val="10"/>
        <rFont val="Times New Roman"/>
        <family val="1"/>
      </rPr>
      <t>0.5</t>
    </r>
    <r>
      <rPr>
        <sz val="10"/>
        <rFont val="Times New Roman"/>
        <family val="1"/>
      </rPr>
      <t>/ (H)</t>
    </r>
    <r>
      <rPr>
        <vertAlign val="superscript"/>
        <sz val="10"/>
        <rFont val="Times New Roman"/>
        <family val="1"/>
      </rPr>
      <t>0.75</t>
    </r>
  </si>
  <si>
    <t xml:space="preserve">SuctionSpecific Speed  (SS) </t>
  </si>
  <si>
    <r>
      <t>N x (Q)</t>
    </r>
    <r>
      <rPr>
        <vertAlign val="superscript"/>
        <sz val="10"/>
        <rFont val="Times New Roman"/>
        <family val="1"/>
      </rPr>
      <t>0.5</t>
    </r>
    <r>
      <rPr>
        <sz val="10"/>
        <rFont val="Times New Roman"/>
        <family val="1"/>
      </rPr>
      <t>/ (NPSHa)</t>
    </r>
    <r>
      <rPr>
        <vertAlign val="superscript"/>
        <sz val="10"/>
        <rFont val="Times New Roman"/>
        <family val="1"/>
      </rPr>
      <t>0.75</t>
    </r>
  </si>
  <si>
    <r>
      <t>Specific Speed  N</t>
    </r>
    <r>
      <rPr>
        <vertAlign val="subscript"/>
        <sz val="10"/>
        <rFont val="Times New Roman"/>
        <family val="1"/>
      </rPr>
      <t>s</t>
    </r>
  </si>
  <si>
    <r>
      <t>As per American Standard for Centrifugal Pumps, generally attainable efficiency for DS Centrifugal Pumps having discharge Q = 9572 g/min &amp; Specific Speed N</t>
    </r>
    <r>
      <rPr>
        <vertAlign val="subscript"/>
        <sz val="10"/>
        <rFont val="Times New Roman"/>
        <family val="1"/>
      </rPr>
      <t xml:space="preserve">s </t>
    </r>
    <r>
      <rPr>
        <sz val="10"/>
        <rFont val="Times New Roman"/>
        <family val="1"/>
      </rPr>
      <t>= 2200, is 90% (as per Fig 1.62A, page no. 85).</t>
    </r>
  </si>
  <si>
    <r>
      <t xml:space="preserve">For discharge Q = 9572 g/min, deviation from generally attainable efficiency is </t>
    </r>
    <r>
      <rPr>
        <u val="single"/>
        <sz val="10"/>
        <rFont val="Times New Roman"/>
        <family val="1"/>
      </rPr>
      <t>+2</t>
    </r>
    <r>
      <rPr>
        <sz val="10"/>
        <rFont val="Times New Roman"/>
        <family val="1"/>
      </rPr>
      <t xml:space="preserve">% of attainable efficiency (as per Fig 1.63 page no. 85 ) which gives efficiency range from 92% to 88%. The efficiency of pumps is greatly influenced by smoothness of impeller vanes, clearance of impeller ring, effectiveness of stuffing box / mechanical seal and suction arrangement. In view of these factors, the </t>
    </r>
    <r>
      <rPr>
        <b/>
        <sz val="10"/>
        <rFont val="Times New Roman"/>
        <family val="1"/>
      </rPr>
      <t>Generally Attainable Efficiency may be taken as 88%</t>
    </r>
    <r>
      <rPr>
        <sz val="10"/>
        <rFont val="Times New Roman"/>
        <family val="1"/>
      </rPr>
      <t>.</t>
    </r>
  </si>
  <si>
    <r>
      <t>((1+R)</t>
    </r>
    <r>
      <rPr>
        <vertAlign val="superscript"/>
        <sz val="10"/>
        <rFont val="Times New Roman"/>
        <family val="1"/>
      </rPr>
      <t>n</t>
    </r>
    <r>
      <rPr>
        <sz val="10"/>
        <rFont val="Times New Roman"/>
        <family val="1"/>
      </rPr>
      <t xml:space="preserve"> - 1)/ (R x (1+R)</t>
    </r>
    <r>
      <rPr>
        <vertAlign val="superscript"/>
        <sz val="10"/>
        <rFont val="Times New Roman"/>
        <family val="1"/>
      </rPr>
      <t>n</t>
    </r>
    <r>
      <rPr>
        <sz val="10"/>
        <rFont val="Times New Roman"/>
        <family val="1"/>
      </rPr>
      <t>)</t>
    </r>
  </si>
  <si>
    <r>
      <t xml:space="preserve">The Motor rating required as per first alternative is 378.11 KW. Thus we go for next available rating of </t>
    </r>
    <r>
      <rPr>
        <b/>
        <sz val="10"/>
        <rFont val="Times New Roman"/>
        <family val="1"/>
      </rPr>
      <t>380KW.</t>
    </r>
  </si>
  <si>
    <r>
      <t>(0.7854 x 0.08</t>
    </r>
    <r>
      <rPr>
        <vertAlign val="superscript"/>
        <sz val="10"/>
        <rFont val="Times New Roman"/>
        <family val="1"/>
      </rPr>
      <t>2</t>
    </r>
    <r>
      <rPr>
        <sz val="10"/>
        <rFont val="Times New Roman"/>
        <family val="1"/>
      </rPr>
      <t>(d)x 5(L) x 7850 + 100 kg for couplings)</t>
    </r>
  </si>
  <si>
    <t xml:space="preserve">Maximum Operating Head for pumps (Difference in minimum sump level &amp; maximum discharge level+Maximum friction head+ losses in specials, entry &amp; exit)  </t>
  </si>
  <si>
    <t xml:space="preserve">Minimum Operating head for pumps (Difference in maximum sump level &amp; minimum discharge level+minimum friction head+ losses in specials, entry &amp; exit)  </t>
  </si>
  <si>
    <t>Note; Data in colomn 3 to be appropriately filled</t>
  </si>
  <si>
    <t xml:space="preserve">As per American National Standard Institute Hydraulic Institute  New Jersey, the specific speed for Pumps should be in the range of 2000 to 3000 for attaining optimum efficiency. Therefore in the present case the duty requirements are to be fixed in such a way so that the specific speed lies in the above range. </t>
  </si>
  <si>
    <t>Thus single stage VT pump with a speed of 1000 rpm and Double Suction Centrfugal pumps with 2 pumps working have the specific speed in the range of 2000-3000 rpm and are thus the ideal choice. A Single stage Vertical Turbine Pump having Motor Speed of 1500 RPM will have specific speed around 3300, which is slightly higher then upper limit of desired range 2000-3000 for attaining optimum efficiency.However,Pumps &amp; Motors with 1000 RPM speed are more robust compared to 1500 rpm pumping sets. The CWR floor is 3m below GL and in case of Horizontal Split Casing pump, to provide positive suction, pumps have to be installed below this level. The maintenance and shut down time are less in HSC pumps. As such choice is either Single stage VT pumps 1000 rpm with 2W+1S configuration or single stage double suction HSC pump 1500 rpm  with 2W+1S configuration. Other alternatives considered above are not suitable on account of very high or lower specific speeds. Morever using single pump with full discharge has 2 drawbacks:(a). Starting current requirement is very high making transformer, cable, switchgear rating high.(b). During initial years of operation, water demand will be less. Thus the pump shall have to operate at full head for a limited period during the day.</t>
  </si>
  <si>
    <t>Discharge  in US gallon/min</t>
  </si>
  <si>
    <t xml:space="preserve">Suction Specific Speed </t>
  </si>
  <si>
    <t xml:space="preserve"> Pump Selection based on specific speed and maximum attainable efficiency </t>
  </si>
  <si>
    <t xml:space="preserve"> Details of Clear Water Pumpling Station</t>
  </si>
  <si>
    <t xml:space="preserve"> Crane Capacity</t>
  </si>
  <si>
    <t>Motor Rating</t>
  </si>
  <si>
    <t xml:space="preserve"> Attainable Efficiency &amp; Energy Loading</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</si>
</sst>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0.000"/>
    <numFmt numFmtId="174" formatCode="0.0000"/>
    <numFmt numFmtId="175" formatCode="0.00000"/>
    <numFmt numFmtId="176" formatCode="0.000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_(* #,##0.0_);_(* \(#,##0.0\);_(* &quot;-&quot;??_);_(@_)"/>
    <numFmt numFmtId="183" formatCode="_(* #,##0_);_(* \(#,##0\);_(* &quot;-&quot;??_);_(@_)"/>
  </numFmts>
  <fonts count="47">
    <font>
      <sz val="10"/>
      <name val="Arial"/>
      <family val="0"/>
    </font>
    <font>
      <sz val="8"/>
      <name val="Arial"/>
      <family val="0"/>
    </font>
    <font>
      <u val="single"/>
      <sz val="10"/>
      <color indexed="12"/>
      <name val="Arial"/>
      <family val="0"/>
    </font>
    <font>
      <u val="single"/>
      <sz val="10"/>
      <color indexed="36"/>
      <name val="Arial"/>
      <family val="0"/>
    </font>
    <font>
      <sz val="10"/>
      <name val="Times New Roman"/>
      <family val="1"/>
    </font>
    <font>
      <sz val="10.5"/>
      <name val="Times New Roman"/>
      <family val="1"/>
    </font>
    <font>
      <b/>
      <sz val="10.5"/>
      <name val="Times New Roman"/>
      <family val="1"/>
    </font>
    <font>
      <b/>
      <sz val="11"/>
      <name val="Times New Roman"/>
      <family val="1"/>
    </font>
    <font>
      <b/>
      <sz val="10"/>
      <name val="Times New Roman"/>
      <family val="1"/>
    </font>
    <font>
      <vertAlign val="subscript"/>
      <sz val="10"/>
      <name val="Times New Roman"/>
      <family val="1"/>
    </font>
    <font>
      <vertAlign val="superscript"/>
      <sz val="10"/>
      <name val="Times New Roman"/>
      <family val="1"/>
    </font>
    <font>
      <sz val="10"/>
      <color indexed="10"/>
      <name val="Times New Roman"/>
      <family val="1"/>
    </font>
    <font>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thin"/>
      <bottom style="hair"/>
    </border>
    <border>
      <left>
        <color indexed="63"/>
      </left>
      <right style="hair"/>
      <top style="hair"/>
      <bottom style="hair"/>
    </border>
    <border>
      <left style="hair"/>
      <right>
        <color indexed="63"/>
      </right>
      <top style="hair"/>
      <bottom style="hair"/>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5">
    <xf numFmtId="0" fontId="0" fillId="0" borderId="0" xfId="0" applyAlignment="1">
      <alignment/>
    </xf>
    <xf numFmtId="0" fontId="4" fillId="0" borderId="0" xfId="0" applyFont="1" applyBorder="1" applyAlignment="1">
      <alignment horizontal="left" vertical="center"/>
    </xf>
    <xf numFmtId="0" fontId="6" fillId="0" borderId="0" xfId="0" applyFont="1" applyBorder="1" applyAlignment="1">
      <alignment horizontal="center" vertical="center" wrapText="1"/>
    </xf>
    <xf numFmtId="0" fontId="5" fillId="0" borderId="0" xfId="0" applyFont="1" applyAlignment="1">
      <alignment/>
    </xf>
    <xf numFmtId="0" fontId="6" fillId="0" borderId="10" xfId="0" applyFont="1" applyBorder="1" applyAlignment="1">
      <alignment horizontal="center" vertical="center" wrapText="1"/>
    </xf>
    <xf numFmtId="0" fontId="6" fillId="0" borderId="11" xfId="0" applyFont="1" applyBorder="1" applyAlignment="1">
      <alignment vertical="center" wrapText="1"/>
    </xf>
    <xf numFmtId="2" fontId="6" fillId="0" borderId="11" xfId="0" applyNumberFormat="1" applyFont="1" applyBorder="1" applyAlignment="1">
      <alignment horizontal="right" vertical="center" wrapText="1"/>
    </xf>
    <xf numFmtId="0" fontId="6" fillId="0" borderId="12" xfId="0" applyFont="1" applyBorder="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172" fontId="5" fillId="0" borderId="0" xfId="0" applyNumberFormat="1" applyFont="1" applyAlignment="1">
      <alignment horizontal="left" vertical="center" wrapText="1"/>
    </xf>
    <xf numFmtId="2" fontId="5" fillId="0" borderId="0" xfId="0" applyNumberFormat="1" applyFont="1" applyBorder="1" applyAlignment="1">
      <alignment horizontal="left" vertical="center" wrapText="1"/>
    </xf>
    <xf numFmtId="2" fontId="5" fillId="0" borderId="0" xfId="0" applyNumberFormat="1" applyFont="1" applyBorder="1" applyAlignment="1">
      <alignment vertical="center" wrapText="1"/>
    </xf>
    <xf numFmtId="2" fontId="5" fillId="0" borderId="0" xfId="0" applyNumberFormat="1" applyFont="1" applyAlignment="1">
      <alignment horizontal="right" vertical="center" wrapText="1"/>
    </xf>
    <xf numFmtId="2" fontId="5" fillId="0" borderId="0" xfId="0" applyNumberFormat="1" applyFont="1" applyAlignment="1">
      <alignment horizontal="right"/>
    </xf>
    <xf numFmtId="0" fontId="5" fillId="0" borderId="13" xfId="0" applyFont="1" applyBorder="1" applyAlignment="1">
      <alignment horizontal="center" vertical="top" wrapText="1"/>
    </xf>
    <xf numFmtId="0" fontId="5" fillId="0" borderId="14" xfId="0" applyFont="1" applyBorder="1" applyAlignment="1">
      <alignment vertical="top" wrapText="1"/>
    </xf>
    <xf numFmtId="0" fontId="5" fillId="0" borderId="15" xfId="0" applyFont="1" applyBorder="1" applyAlignment="1">
      <alignment vertical="top" wrapText="1"/>
    </xf>
    <xf numFmtId="2" fontId="5" fillId="0" borderId="14" xfId="0" applyNumberFormat="1" applyFont="1" applyBorder="1" applyAlignment="1">
      <alignment vertical="top" wrapText="1"/>
    </xf>
    <xf numFmtId="2" fontId="5" fillId="0" borderId="15" xfId="0" applyNumberFormat="1" applyFont="1" applyFill="1" applyBorder="1" applyAlignment="1">
      <alignment vertical="top" wrapText="1"/>
    </xf>
    <xf numFmtId="0" fontId="5" fillId="0" borderId="15" xfId="0" applyFont="1" applyBorder="1" applyAlignment="1">
      <alignment vertical="top"/>
    </xf>
    <xf numFmtId="0" fontId="5" fillId="0" borderId="16" xfId="0" applyFont="1" applyBorder="1" applyAlignment="1">
      <alignment horizontal="center" vertical="top" wrapText="1"/>
    </xf>
    <xf numFmtId="0" fontId="5" fillId="0" borderId="17" xfId="0" applyFont="1" applyBorder="1" applyAlignment="1">
      <alignment vertical="top"/>
    </xf>
    <xf numFmtId="0" fontId="5" fillId="0" borderId="18" xfId="0" applyFont="1" applyBorder="1" applyAlignment="1">
      <alignment vertical="top"/>
    </xf>
    <xf numFmtId="0" fontId="4" fillId="0" borderId="0" xfId="0" applyFont="1" applyBorder="1" applyAlignment="1">
      <alignment vertical="center" wrapText="1"/>
    </xf>
    <xf numFmtId="2" fontId="4" fillId="0" borderId="0" xfId="0" applyNumberFormat="1" applyFont="1" applyBorder="1" applyAlignment="1">
      <alignment vertical="center" wrapText="1"/>
    </xf>
    <xf numFmtId="2" fontId="4" fillId="0" borderId="0" xfId="0" applyNumberFormat="1" applyFont="1" applyBorder="1" applyAlignment="1">
      <alignment horizontal="center" vertical="center" wrapText="1"/>
    </xf>
    <xf numFmtId="2" fontId="4" fillId="0" borderId="14" xfId="0" applyNumberFormat="1" applyFont="1" applyBorder="1" applyAlignment="1">
      <alignment horizontal="left" vertical="center" wrapText="1"/>
    </xf>
    <xf numFmtId="172" fontId="4" fillId="0" borderId="14" xfId="0" applyNumberFormat="1" applyFont="1" applyBorder="1" applyAlignment="1">
      <alignment horizontal="right" vertical="center" wrapText="1"/>
    </xf>
    <xf numFmtId="2" fontId="4" fillId="0" borderId="15" xfId="0" applyNumberFormat="1" applyFont="1" applyBorder="1" applyAlignment="1">
      <alignment vertical="center" wrapText="1"/>
    </xf>
    <xf numFmtId="172" fontId="4" fillId="0" borderId="14" xfId="0" applyNumberFormat="1" applyFont="1" applyBorder="1" applyAlignment="1">
      <alignment vertical="center" wrapText="1"/>
    </xf>
    <xf numFmtId="0" fontId="4" fillId="0" borderId="0" xfId="0" applyFont="1" applyAlignment="1">
      <alignment horizontal="center" vertical="center" wrapText="1"/>
    </xf>
    <xf numFmtId="172" fontId="4" fillId="0" borderId="0" xfId="0" applyNumberFormat="1" applyFont="1" applyAlignment="1">
      <alignment horizontal="left" vertical="center" wrapText="1"/>
    </xf>
    <xf numFmtId="0" fontId="4" fillId="0" borderId="0" xfId="0" applyFont="1" applyAlignment="1">
      <alignment horizontal="left" vertical="center" wrapText="1"/>
    </xf>
    <xf numFmtId="2" fontId="4" fillId="0" borderId="0" xfId="0" applyNumberFormat="1" applyFont="1" applyBorder="1" applyAlignment="1">
      <alignment horizontal="left" vertical="center" wrapText="1"/>
    </xf>
    <xf numFmtId="1" fontId="4" fillId="0" borderId="14" xfId="0" applyNumberFormat="1" applyFont="1" applyFill="1" applyBorder="1" applyAlignment="1">
      <alignment horizontal="right" vertical="center" wrapText="1"/>
    </xf>
    <xf numFmtId="2" fontId="4" fillId="0" borderId="15" xfId="0" applyNumberFormat="1" applyFont="1" applyFill="1" applyBorder="1" applyAlignment="1">
      <alignment vertical="center" wrapText="1"/>
    </xf>
    <xf numFmtId="1" fontId="4" fillId="0" borderId="16" xfId="0" applyNumberFormat="1" applyFont="1" applyBorder="1" applyAlignment="1">
      <alignment vertical="center" wrapText="1"/>
    </xf>
    <xf numFmtId="1" fontId="4" fillId="0" borderId="17" xfId="0" applyNumberFormat="1" applyFont="1" applyBorder="1" applyAlignment="1">
      <alignment vertical="center" wrapText="1"/>
    </xf>
    <xf numFmtId="2" fontId="4" fillId="0" borderId="17" xfId="0" applyNumberFormat="1" applyFont="1" applyBorder="1" applyAlignment="1">
      <alignment vertical="center" wrapText="1"/>
    </xf>
    <xf numFmtId="2" fontId="4" fillId="0" borderId="18" xfId="0" applyNumberFormat="1" applyFont="1" applyBorder="1" applyAlignment="1">
      <alignmen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0" xfId="0" applyFont="1" applyAlignment="1">
      <alignment vertical="center" wrapText="1"/>
    </xf>
    <xf numFmtId="0" fontId="4" fillId="0" borderId="13" xfId="0" applyFont="1" applyBorder="1" applyAlignment="1">
      <alignment vertical="center" wrapText="1"/>
    </xf>
    <xf numFmtId="0" fontId="4" fillId="0" borderId="14" xfId="0" applyFont="1" applyBorder="1" applyAlignment="1">
      <alignment horizontal="right" vertical="center" wrapText="1"/>
    </xf>
    <xf numFmtId="0" fontId="4" fillId="0" borderId="14" xfId="0" applyFont="1" applyBorder="1" applyAlignment="1">
      <alignment horizontal="center" vertical="center" wrapText="1"/>
    </xf>
    <xf numFmtId="0" fontId="4" fillId="0" borderId="14" xfId="0" applyFont="1" applyBorder="1" applyAlignment="1">
      <alignment horizontal="lef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horizontal="right" vertical="center" wrapText="1"/>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1" fontId="4" fillId="0" borderId="0" xfId="0" applyNumberFormat="1" applyFont="1" applyBorder="1" applyAlignment="1">
      <alignment vertical="center" wrapText="1"/>
    </xf>
    <xf numFmtId="1" fontId="4" fillId="0" borderId="10" xfId="0" applyNumberFormat="1" applyFont="1" applyBorder="1" applyAlignment="1">
      <alignment horizontal="center" vertical="center" wrapText="1"/>
    </xf>
    <xf numFmtId="1"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2" fontId="4" fillId="0" borderId="12" xfId="0" applyNumberFormat="1" applyFont="1" applyBorder="1" applyAlignment="1">
      <alignment horizontal="center" vertical="center" wrapText="1"/>
    </xf>
    <xf numFmtId="1" fontId="4" fillId="0" borderId="13" xfId="0" applyNumberFormat="1" applyFont="1" applyBorder="1" applyAlignment="1">
      <alignment horizontal="center" vertical="center" wrapText="1"/>
    </xf>
    <xf numFmtId="1" fontId="4" fillId="0" borderId="14" xfId="0" applyNumberFormat="1" applyFont="1" applyBorder="1" applyAlignment="1">
      <alignment horizontal="center" vertical="center" wrapText="1"/>
    </xf>
    <xf numFmtId="2" fontId="4" fillId="0" borderId="14" xfId="0" applyNumberFormat="1" applyFont="1" applyBorder="1" applyAlignment="1">
      <alignment horizontal="center" vertical="center" wrapText="1"/>
    </xf>
    <xf numFmtId="2" fontId="4" fillId="0" borderId="15" xfId="0" applyNumberFormat="1" applyFont="1" applyBorder="1" applyAlignment="1">
      <alignment horizontal="center" vertical="center" wrapText="1"/>
    </xf>
    <xf numFmtId="1" fontId="11" fillId="0" borderId="13" xfId="0" applyNumberFormat="1" applyFont="1" applyBorder="1" applyAlignment="1">
      <alignment horizontal="center" vertical="center" wrapText="1"/>
    </xf>
    <xf numFmtId="1" fontId="11" fillId="0" borderId="14" xfId="0" applyNumberFormat="1" applyFont="1" applyBorder="1" applyAlignment="1">
      <alignment horizontal="center" vertical="center" wrapText="1"/>
    </xf>
    <xf numFmtId="2" fontId="11" fillId="0" borderId="14" xfId="0" applyNumberFormat="1" applyFont="1" applyBorder="1" applyAlignment="1">
      <alignment horizontal="center" vertical="center" wrapText="1"/>
    </xf>
    <xf numFmtId="2" fontId="11" fillId="0" borderId="15" xfId="0" applyNumberFormat="1" applyFont="1" applyBorder="1" applyAlignment="1">
      <alignment horizontal="center" vertical="center" wrapText="1"/>
    </xf>
    <xf numFmtId="2" fontId="11" fillId="33" borderId="14" xfId="0" applyNumberFormat="1" applyFont="1" applyFill="1" applyBorder="1" applyAlignment="1">
      <alignment horizontal="center" vertical="center" wrapText="1"/>
    </xf>
    <xf numFmtId="1" fontId="4" fillId="0" borderId="16" xfId="0" applyNumberFormat="1" applyFont="1" applyBorder="1" applyAlignment="1">
      <alignment horizontal="center" vertical="center" wrapText="1"/>
    </xf>
    <xf numFmtId="1" fontId="4" fillId="0" borderId="17" xfId="0" applyNumberFormat="1" applyFont="1" applyBorder="1" applyAlignment="1">
      <alignment horizontal="center" vertical="center" wrapText="1"/>
    </xf>
    <xf numFmtId="2" fontId="4" fillId="33" borderId="17" xfId="0" applyNumberFormat="1" applyFont="1" applyFill="1" applyBorder="1" applyAlignment="1">
      <alignment horizontal="center" vertical="center" wrapText="1"/>
    </xf>
    <xf numFmtId="2" fontId="4" fillId="0" borderId="17" xfId="0" applyNumberFormat="1" applyFont="1" applyBorder="1" applyAlignment="1">
      <alignment horizontal="center" vertical="center" wrapText="1"/>
    </xf>
    <xf numFmtId="2" fontId="4" fillId="0" borderId="18" xfId="0" applyNumberFormat="1" applyFont="1" applyBorder="1" applyAlignment="1">
      <alignment horizontal="center" vertical="center" wrapText="1"/>
    </xf>
    <xf numFmtId="2" fontId="7" fillId="0" borderId="0" xfId="0" applyNumberFormat="1" applyFont="1" applyBorder="1" applyAlignment="1">
      <alignment horizontal="center" vertical="center" wrapText="1"/>
    </xf>
    <xf numFmtId="0" fontId="4"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center" vertical="center"/>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14" xfId="0" applyFont="1" applyBorder="1" applyAlignment="1">
      <alignment vertical="center" wrapText="1"/>
    </xf>
    <xf numFmtId="0" fontId="4" fillId="0" borderId="13" xfId="0" applyFont="1" applyBorder="1" applyAlignment="1">
      <alignment horizontal="left" vertical="center" wrapText="1"/>
    </xf>
    <xf numFmtId="172" fontId="4" fillId="0" borderId="14" xfId="0" applyNumberFormat="1" applyFont="1" applyBorder="1" applyAlignment="1">
      <alignment horizontal="center" vertical="center" wrapText="1"/>
    </xf>
    <xf numFmtId="0" fontId="4" fillId="0" borderId="15" xfId="0" applyFont="1" applyBorder="1" applyAlignment="1">
      <alignment horizontal="left" vertical="center" wrapText="1"/>
    </xf>
    <xf numFmtId="0" fontId="4" fillId="0" borderId="16" xfId="0" applyFont="1" applyBorder="1" applyAlignment="1">
      <alignment horizontal="right" vertical="center" wrapText="1"/>
    </xf>
    <xf numFmtId="0" fontId="4" fillId="0" borderId="17" xfId="0" applyFont="1" applyBorder="1" applyAlignment="1">
      <alignment vertical="center" wrapText="1"/>
    </xf>
    <xf numFmtId="0" fontId="4" fillId="0" borderId="0" xfId="0" applyFont="1" applyAlignment="1">
      <alignment horizontal="right" vertical="center" wrapText="1"/>
    </xf>
    <xf numFmtId="2" fontId="4" fillId="0" borderId="0" xfId="0" applyNumberFormat="1" applyFont="1" applyBorder="1" applyAlignment="1">
      <alignment vertical="center"/>
    </xf>
    <xf numFmtId="1" fontId="4" fillId="0" borderId="0" xfId="0" applyNumberFormat="1"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justify" vertical="center"/>
    </xf>
    <xf numFmtId="2" fontId="4" fillId="0" borderId="0" xfId="0" applyNumberFormat="1" applyFont="1" applyBorder="1" applyAlignment="1">
      <alignment horizontal="right" vertical="center"/>
    </xf>
    <xf numFmtId="2" fontId="4" fillId="0" borderId="0" xfId="0" applyNumberFormat="1" applyFont="1" applyAlignment="1">
      <alignment horizontal="right" vertical="center" wrapText="1"/>
    </xf>
    <xf numFmtId="0" fontId="4" fillId="0" borderId="11" xfId="0" applyFont="1" applyBorder="1" applyAlignment="1">
      <alignment vertical="center"/>
    </xf>
    <xf numFmtId="172" fontId="4" fillId="0" borderId="11" xfId="0" applyNumberFormat="1" applyFont="1" applyBorder="1" applyAlignment="1">
      <alignment horizontal="center" vertical="center" wrapText="1"/>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vertical="center"/>
    </xf>
    <xf numFmtId="2" fontId="4" fillId="0" borderId="14" xfId="0" applyNumberFormat="1" applyFont="1" applyBorder="1" applyAlignment="1">
      <alignment horizontal="center" vertical="center"/>
    </xf>
    <xf numFmtId="2" fontId="4" fillId="0" borderId="0" xfId="0" applyNumberFormat="1" applyFont="1" applyBorder="1" applyAlignment="1">
      <alignment horizontal="center" vertical="center"/>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0" xfId="0" applyFont="1" applyAlignment="1">
      <alignment vertical="center" wrapText="1"/>
    </xf>
    <xf numFmtId="0" fontId="4" fillId="0" borderId="13" xfId="0" applyFont="1" applyBorder="1" applyAlignment="1">
      <alignment horizontal="center" vertical="center" wrapText="1"/>
    </xf>
    <xf numFmtId="0" fontId="4" fillId="0" borderId="13" xfId="0" applyFont="1" applyBorder="1" applyAlignment="1">
      <alignment horizontal="right" vertical="center" wrapText="1"/>
    </xf>
    <xf numFmtId="0" fontId="4" fillId="0" borderId="0" xfId="0" applyNumberFormat="1" applyFont="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8" fillId="0" borderId="0" xfId="0" applyFont="1" applyAlignment="1">
      <alignment horizontal="left" vertical="center" wrapText="1"/>
    </xf>
    <xf numFmtId="177" fontId="4" fillId="0" borderId="11" xfId="0" applyNumberFormat="1" applyFont="1" applyBorder="1" applyAlignment="1">
      <alignment horizontal="left" vertical="center" wrapText="1"/>
    </xf>
    <xf numFmtId="9" fontId="4" fillId="0" borderId="14" xfId="0" applyNumberFormat="1" applyFont="1" applyBorder="1" applyAlignment="1">
      <alignment horizontal="left" vertical="center" wrapText="1"/>
    </xf>
    <xf numFmtId="10" fontId="4" fillId="0" borderId="14" xfId="0" applyNumberFormat="1" applyFont="1" applyBorder="1" applyAlignment="1" quotePrefix="1">
      <alignment horizontal="left" vertical="center" wrapText="1"/>
    </xf>
    <xf numFmtId="10" fontId="4" fillId="0" borderId="17" xfId="0" applyNumberFormat="1" applyFont="1" applyBorder="1" applyAlignment="1">
      <alignment horizontal="left" vertical="center" wrapText="1"/>
    </xf>
    <xf numFmtId="0" fontId="4" fillId="0" borderId="13" xfId="0" applyFont="1" applyBorder="1" applyAlignment="1">
      <alignment horizontal="center" vertical="center"/>
    </xf>
    <xf numFmtId="2" fontId="4" fillId="0" borderId="14" xfId="0" applyNumberFormat="1" applyFont="1" applyBorder="1" applyAlignment="1">
      <alignment vertical="center" wrapText="1"/>
    </xf>
    <xf numFmtId="173" fontId="4" fillId="0" borderId="17" xfId="0" applyNumberFormat="1" applyFont="1" applyBorder="1" applyAlignment="1">
      <alignment vertical="center" wrapText="1"/>
    </xf>
    <xf numFmtId="174" fontId="4" fillId="0" borderId="14" xfId="0" applyNumberFormat="1" applyFont="1" applyBorder="1" applyAlignment="1">
      <alignment horizontal="left" vertical="center" wrapText="1"/>
    </xf>
    <xf numFmtId="1" fontId="4" fillId="0" borderId="14" xfId="0" applyNumberFormat="1" applyFont="1" applyBorder="1" applyAlignment="1">
      <alignment vertical="center" wrapText="1"/>
    </xf>
    <xf numFmtId="1" fontId="4" fillId="0" borderId="0" xfId="0" applyNumberFormat="1" applyFont="1" applyAlignment="1">
      <alignment vertical="center" wrapText="1"/>
    </xf>
    <xf numFmtId="1" fontId="4" fillId="0" borderId="0" xfId="0" applyNumberFormat="1" applyFont="1" applyBorder="1" applyAlignment="1">
      <alignment horizontal="center" vertical="center"/>
    </xf>
    <xf numFmtId="172" fontId="4" fillId="0" borderId="0" xfId="0" applyNumberFormat="1" applyFont="1" applyBorder="1" applyAlignment="1">
      <alignment horizontal="center" vertical="center" wrapText="1"/>
    </xf>
    <xf numFmtId="177" fontId="4" fillId="0" borderId="0" xfId="0" applyNumberFormat="1" applyFont="1" applyBorder="1" applyAlignment="1">
      <alignment horizontal="left" vertical="center" wrapText="1"/>
    </xf>
    <xf numFmtId="9" fontId="4" fillId="0" borderId="0" xfId="0" applyNumberFormat="1" applyFont="1" applyBorder="1" applyAlignment="1">
      <alignment horizontal="center" vertical="center" wrapText="1"/>
    </xf>
    <xf numFmtId="10" fontId="4" fillId="0" borderId="0" xfId="0" applyNumberFormat="1" applyFont="1" applyBorder="1" applyAlignment="1" quotePrefix="1">
      <alignment horizontal="left" vertical="center" wrapText="1"/>
    </xf>
    <xf numFmtId="0" fontId="4" fillId="0" borderId="0" xfId="0" applyFont="1" applyBorder="1" applyAlignment="1">
      <alignment horizontal="right" vertical="center" wrapText="1"/>
    </xf>
    <xf numFmtId="1" fontId="5" fillId="0" borderId="17" xfId="0" applyNumberFormat="1" applyFont="1" applyBorder="1" applyAlignment="1">
      <alignment horizontal="right" vertical="top"/>
    </xf>
    <xf numFmtId="2" fontId="4" fillId="0" borderId="14" xfId="0" applyNumberFormat="1" applyFont="1" applyFill="1" applyBorder="1" applyAlignment="1">
      <alignment horizontal="center" vertical="center" wrapText="1"/>
    </xf>
    <xf numFmtId="0" fontId="8" fillId="0" borderId="19"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horizontal="center" vertical="center" wrapText="1"/>
    </xf>
    <xf numFmtId="1" fontId="5" fillId="34" borderId="14" xfId="0" applyNumberFormat="1" applyFont="1" applyFill="1" applyBorder="1" applyAlignment="1">
      <alignment horizontal="right" vertical="top" wrapText="1"/>
    </xf>
    <xf numFmtId="2" fontId="5" fillId="34" borderId="14" xfId="0" applyNumberFormat="1" applyFont="1" applyFill="1" applyBorder="1" applyAlignment="1">
      <alignment horizontal="right" vertical="top" wrapText="1"/>
    </xf>
    <xf numFmtId="183" fontId="5" fillId="34" borderId="14" xfId="42" applyNumberFormat="1" applyFont="1" applyFill="1" applyBorder="1" applyAlignment="1">
      <alignment horizontal="right" vertical="top" wrapText="1"/>
    </xf>
    <xf numFmtId="1" fontId="5" fillId="34" borderId="14" xfId="0" applyNumberFormat="1" applyFont="1" applyFill="1" applyBorder="1" applyAlignment="1">
      <alignment horizontal="right" vertical="top"/>
    </xf>
    <xf numFmtId="0" fontId="4" fillId="34" borderId="17"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7" fillId="0" borderId="0" xfId="0" applyFont="1" applyBorder="1" applyAlignment="1">
      <alignment horizontal="center" vertical="center" wrapText="1"/>
    </xf>
    <xf numFmtId="0" fontId="5" fillId="34" borderId="22" xfId="0" applyFont="1" applyFill="1" applyBorder="1" applyAlignment="1">
      <alignment horizontal="center" vertical="center" wrapText="1"/>
    </xf>
    <xf numFmtId="0" fontId="4" fillId="0" borderId="0" xfId="0" applyFont="1" applyAlignment="1">
      <alignment horizontal="left" vertical="center" wrapText="1"/>
    </xf>
    <xf numFmtId="2" fontId="4" fillId="0" borderId="0" xfId="0" applyNumberFormat="1" applyFont="1" applyBorder="1" applyAlignment="1">
      <alignment horizontal="left" vertical="center" wrapText="1"/>
    </xf>
    <xf numFmtId="2" fontId="7" fillId="0" borderId="0" xfId="0" applyNumberFormat="1" applyFont="1" applyBorder="1" applyAlignment="1">
      <alignment horizontal="center" vertical="center" wrapText="1"/>
    </xf>
    <xf numFmtId="2" fontId="8" fillId="0" borderId="0" xfId="0" applyNumberFormat="1" applyFont="1" applyBorder="1" applyAlignment="1">
      <alignment horizontal="left" vertical="center" wrapText="1"/>
    </xf>
    <xf numFmtId="2" fontId="8" fillId="0" borderId="10" xfId="0" applyNumberFormat="1" applyFont="1" applyBorder="1" applyAlignment="1">
      <alignment horizontal="left" vertical="center" wrapText="1"/>
    </xf>
    <xf numFmtId="2" fontId="8" fillId="0" borderId="11" xfId="0" applyNumberFormat="1" applyFont="1" applyBorder="1" applyAlignment="1">
      <alignment horizontal="left" vertical="center" wrapText="1"/>
    </xf>
    <xf numFmtId="2" fontId="8" fillId="0" borderId="12" xfId="0" applyNumberFormat="1" applyFont="1" applyBorder="1" applyAlignment="1">
      <alignment horizontal="left" vertical="center" wrapText="1"/>
    </xf>
    <xf numFmtId="2" fontId="4" fillId="0" borderId="13" xfId="0" applyNumberFormat="1" applyFont="1" applyBorder="1" applyAlignment="1">
      <alignment horizontal="left" vertical="center" wrapText="1"/>
    </xf>
    <xf numFmtId="2" fontId="4" fillId="0" borderId="14" xfId="0" applyNumberFormat="1" applyFont="1" applyBorder="1" applyAlignment="1">
      <alignment horizontal="left" vertical="center" wrapText="1"/>
    </xf>
    <xf numFmtId="2" fontId="4" fillId="0" borderId="23" xfId="0" applyNumberFormat="1" applyFont="1" applyBorder="1" applyAlignment="1">
      <alignment horizontal="left" vertical="center" wrapText="1"/>
    </xf>
    <xf numFmtId="2" fontId="4" fillId="0" borderId="24" xfId="0" applyNumberFormat="1" applyFont="1" applyBorder="1" applyAlignment="1">
      <alignment horizontal="left" vertical="center" wrapText="1"/>
    </xf>
    <xf numFmtId="2" fontId="4" fillId="0" borderId="20" xfId="0" applyNumberFormat="1"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11" xfId="0" applyFont="1" applyBorder="1" applyAlignment="1">
      <alignment horizontal="left" vertical="center"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2" fontId="8" fillId="34" borderId="0" xfId="0" applyNumberFormat="1"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xf>
    <xf numFmtId="0" fontId="8" fillId="0" borderId="0" xfId="0" applyFont="1" applyBorder="1" applyAlignment="1">
      <alignment horizontal="left" vertical="center"/>
    </xf>
    <xf numFmtId="0" fontId="4" fillId="0" borderId="16" xfId="0" applyFont="1" applyBorder="1" applyAlignment="1" quotePrefix="1">
      <alignment horizontal="left"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172" fontId="4" fillId="0" borderId="14" xfId="0" applyNumberFormat="1" applyFont="1" applyBorder="1" applyAlignment="1">
      <alignment horizontal="center" vertical="center" wrapText="1"/>
    </xf>
    <xf numFmtId="172" fontId="4" fillId="0" borderId="17" xfId="0" applyNumberFormat="1" applyFont="1" applyBorder="1" applyAlignment="1">
      <alignment horizontal="center" vertical="center" wrapText="1"/>
    </xf>
    <xf numFmtId="0" fontId="4" fillId="0" borderId="15"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4" fillId="0" borderId="16" xfId="0" applyFont="1" applyBorder="1" applyAlignment="1">
      <alignment horizontal="left" vertical="center" wrapText="1"/>
    </xf>
    <xf numFmtId="0" fontId="8" fillId="0" borderId="0" xfId="0" applyFont="1" applyAlignment="1">
      <alignment horizontal="left" vertical="center" wrapText="1"/>
    </xf>
    <xf numFmtId="0" fontId="7" fillId="0" borderId="0" xfId="0" applyFont="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172" fontId="4" fillId="0" borderId="14" xfId="0" applyNumberFormat="1" applyFont="1" applyBorder="1" applyAlignment="1">
      <alignment horizontal="left" vertical="center" wrapText="1"/>
    </xf>
    <xf numFmtId="0" fontId="4" fillId="0" borderId="13" xfId="0" applyFont="1" applyBorder="1" applyAlignment="1">
      <alignment horizontal="center" vertical="center" wrapText="1"/>
    </xf>
    <xf numFmtId="0" fontId="4" fillId="0" borderId="0"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left" vertical="center" wrapText="1"/>
    </xf>
    <xf numFmtId="9" fontId="4" fillId="0" borderId="11" xfId="0" applyNumberFormat="1" applyFont="1" applyBorder="1" applyAlignment="1">
      <alignment horizontal="left" vertical="center" wrapText="1"/>
    </xf>
    <xf numFmtId="9" fontId="4" fillId="0" borderId="12" xfId="0" applyNumberFormat="1" applyFont="1" applyBorder="1" applyAlignment="1">
      <alignment horizontal="left" vertical="center" wrapText="1"/>
    </xf>
    <xf numFmtId="0" fontId="4" fillId="0" borderId="15" xfId="0" applyFont="1" applyBorder="1" applyAlignment="1">
      <alignment horizontal="center" vertical="center" wrapText="1"/>
    </xf>
    <xf numFmtId="9" fontId="4" fillId="0" borderId="0" xfId="0" applyNumberFormat="1" applyFont="1" applyBorder="1" applyAlignment="1">
      <alignment horizontal="left" vertical="center" wrapText="1"/>
    </xf>
    <xf numFmtId="0" fontId="4" fillId="0" borderId="0" xfId="0" applyFont="1" applyBorder="1" applyAlignment="1" quotePrefix="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4"/>
  <sheetViews>
    <sheetView view="pageBreakPreview" zoomScaleSheetLayoutView="100" zoomScalePageLayoutView="0" workbookViewId="0" topLeftCell="A1">
      <selection activeCell="C12" sqref="C12"/>
    </sheetView>
  </sheetViews>
  <sheetFormatPr defaultColWidth="9.140625" defaultRowHeight="12.75"/>
  <cols>
    <col min="1" max="1" width="9.140625" style="3" customWidth="1"/>
    <col min="2" max="2" width="51.421875" style="3" customWidth="1"/>
    <col min="3" max="3" width="12.140625" style="14" customWidth="1"/>
    <col min="4" max="4" width="6.8515625" style="3" customWidth="1"/>
    <col min="5" max="16384" width="9.140625" style="3" customWidth="1"/>
  </cols>
  <sheetData>
    <row r="1" spans="1:4" ht="14.25">
      <c r="A1" s="138" t="s">
        <v>179</v>
      </c>
      <c r="B1" s="138"/>
      <c r="C1" s="138"/>
      <c r="D1" s="138"/>
    </row>
    <row r="2" spans="1:4" ht="15" customHeight="1">
      <c r="A2" s="2">
        <v>1</v>
      </c>
      <c r="B2" s="2">
        <v>2</v>
      </c>
      <c r="C2" s="2">
        <v>3</v>
      </c>
      <c r="D2" s="2">
        <v>4</v>
      </c>
    </row>
    <row r="3" spans="1:4" ht="13.5">
      <c r="A3" s="4" t="s">
        <v>6</v>
      </c>
      <c r="B3" s="5" t="s">
        <v>4</v>
      </c>
      <c r="C3" s="6" t="s">
        <v>159</v>
      </c>
      <c r="D3" s="7" t="s">
        <v>160</v>
      </c>
    </row>
    <row r="4" spans="1:4" ht="13.5">
      <c r="A4" s="15">
        <v>1</v>
      </c>
      <c r="B4" s="16" t="s">
        <v>87</v>
      </c>
      <c r="C4" s="132">
        <v>100</v>
      </c>
      <c r="D4" s="17" t="s">
        <v>1</v>
      </c>
    </row>
    <row r="5" spans="1:10" s="12" customFormat="1" ht="13.5">
      <c r="A5" s="15">
        <v>2</v>
      </c>
      <c r="B5" s="18" t="s">
        <v>48</v>
      </c>
      <c r="C5" s="132">
        <v>23</v>
      </c>
      <c r="D5" s="19" t="s">
        <v>81</v>
      </c>
      <c r="E5" s="8"/>
      <c r="F5" s="9"/>
      <c r="G5" s="10"/>
      <c r="H5" s="9"/>
      <c r="I5" s="9"/>
      <c r="J5" s="11"/>
    </row>
    <row r="6" spans="1:4" ht="13.5">
      <c r="A6" s="15">
        <v>3</v>
      </c>
      <c r="B6" s="16" t="s">
        <v>143</v>
      </c>
      <c r="C6" s="132">
        <v>236</v>
      </c>
      <c r="D6" s="17" t="s">
        <v>2</v>
      </c>
    </row>
    <row r="7" spans="1:4" ht="13.5">
      <c r="A7" s="15">
        <v>4</v>
      </c>
      <c r="B7" s="16" t="s">
        <v>144</v>
      </c>
      <c r="C7" s="132">
        <v>232</v>
      </c>
      <c r="D7" s="17" t="s">
        <v>2</v>
      </c>
    </row>
    <row r="8" spans="1:4" ht="13.5">
      <c r="A8" s="15">
        <v>5</v>
      </c>
      <c r="B8" s="16" t="s">
        <v>7</v>
      </c>
      <c r="C8" s="133" t="s">
        <v>145</v>
      </c>
      <c r="D8" s="17" t="s">
        <v>0</v>
      </c>
    </row>
    <row r="9" spans="1:4" ht="13.5">
      <c r="A9" s="15">
        <v>6</v>
      </c>
      <c r="B9" s="16" t="s">
        <v>149</v>
      </c>
      <c r="C9" s="134">
        <v>33000</v>
      </c>
      <c r="D9" s="17" t="s">
        <v>2</v>
      </c>
    </row>
    <row r="10" spans="1:4" ht="13.5">
      <c r="A10" s="15">
        <v>7</v>
      </c>
      <c r="B10" s="16" t="s">
        <v>5</v>
      </c>
      <c r="C10" s="134">
        <v>140</v>
      </c>
      <c r="D10" s="17"/>
    </row>
    <row r="11" spans="1:4" ht="41.25" customHeight="1">
      <c r="A11" s="15">
        <v>8</v>
      </c>
      <c r="B11" s="16" t="s">
        <v>171</v>
      </c>
      <c r="C11" s="132">
        <v>50</v>
      </c>
      <c r="D11" s="17" t="s">
        <v>2</v>
      </c>
    </row>
    <row r="12" spans="1:4" ht="45" customHeight="1">
      <c r="A12" s="15">
        <v>9</v>
      </c>
      <c r="B12" s="16" t="s">
        <v>172</v>
      </c>
      <c r="C12" s="135">
        <v>46</v>
      </c>
      <c r="D12" s="20" t="s">
        <v>2</v>
      </c>
    </row>
    <row r="13" spans="1:4" ht="13.5">
      <c r="A13" s="21">
        <v>10</v>
      </c>
      <c r="B13" s="22" t="s">
        <v>146</v>
      </c>
      <c r="C13" s="127">
        <f>(C11+C12)/2</f>
        <v>48</v>
      </c>
      <c r="D13" s="23" t="s">
        <v>2</v>
      </c>
    </row>
    <row r="14" spans="1:3" ht="21" customHeight="1">
      <c r="A14" s="139" t="s">
        <v>173</v>
      </c>
      <c r="B14" s="139"/>
      <c r="C14" s="13"/>
    </row>
  </sheetData>
  <sheetProtection/>
  <mergeCells count="2">
    <mergeCell ref="A1:D1"/>
    <mergeCell ref="A14:B14"/>
  </mergeCells>
  <printOptions/>
  <pageMargins left="0.75" right="0.75" top="1" bottom="1" header="0.5" footer="0.5"/>
  <pageSetup horizontalDpi="2400" verticalDpi="2400" orientation="portrait" paperSize="9" scale="95" r:id="rId1"/>
</worksheet>
</file>

<file path=xl/worksheets/sheet2.xml><?xml version="1.0" encoding="utf-8"?>
<worksheet xmlns="http://schemas.openxmlformats.org/spreadsheetml/2006/main" xmlns:r="http://schemas.openxmlformats.org/officeDocument/2006/relationships">
  <dimension ref="A1:N26"/>
  <sheetViews>
    <sheetView view="pageBreakPreview" zoomScaleSheetLayoutView="100" zoomScalePageLayoutView="0" workbookViewId="0" topLeftCell="A16">
      <selection activeCell="A26" sqref="A26:G26"/>
    </sheetView>
  </sheetViews>
  <sheetFormatPr defaultColWidth="9.140625" defaultRowHeight="12.75"/>
  <cols>
    <col min="1" max="1" width="15.57421875" style="55" customWidth="1"/>
    <col min="2" max="2" width="12.140625" style="55" customWidth="1"/>
    <col min="3" max="3" width="11.421875" style="55" customWidth="1"/>
    <col min="4" max="4" width="8.140625" style="25" customWidth="1"/>
    <col min="5" max="5" width="9.421875" style="25" customWidth="1"/>
    <col min="6" max="6" width="11.421875" style="55" customWidth="1"/>
    <col min="7" max="7" width="23.57421875" style="25" customWidth="1"/>
    <col min="8" max="8" width="9.140625" style="25" customWidth="1"/>
    <col min="9" max="9" width="9.140625" style="26" customWidth="1"/>
    <col min="10" max="10" width="11.140625" style="25" customWidth="1"/>
    <col min="11" max="16384" width="9.140625" style="25" customWidth="1"/>
  </cols>
  <sheetData>
    <row r="1" spans="1:7" ht="14.25">
      <c r="A1" s="142" t="s">
        <v>178</v>
      </c>
      <c r="B1" s="142"/>
      <c r="C1" s="142"/>
      <c r="D1" s="142"/>
      <c r="E1" s="142"/>
      <c r="F1" s="142"/>
      <c r="G1" s="142"/>
    </row>
    <row r="2" spans="1:7" ht="10.5" customHeight="1">
      <c r="A2" s="74"/>
      <c r="B2" s="74"/>
      <c r="C2" s="74"/>
      <c r="D2" s="74"/>
      <c r="E2" s="74"/>
      <c r="F2" s="74"/>
      <c r="G2" s="74"/>
    </row>
    <row r="3" spans="1:7" ht="12.75">
      <c r="A3" s="144" t="s">
        <v>4</v>
      </c>
      <c r="B3" s="145"/>
      <c r="C3" s="145"/>
      <c r="D3" s="145"/>
      <c r="E3" s="145"/>
      <c r="F3" s="145"/>
      <c r="G3" s="146"/>
    </row>
    <row r="4" spans="1:7" ht="42.75" customHeight="1">
      <c r="A4" s="149" t="str">
        <f>Details!B12</f>
        <v>Minimum Operating head for pumps (Difference in maximum sump level &amp; minimum discharge level+minimum friction head+ losses in specials, entry &amp; exit)  </v>
      </c>
      <c r="B4" s="150"/>
      <c r="C4" s="150"/>
      <c r="D4" s="150"/>
      <c r="E4" s="151"/>
      <c r="F4" s="28">
        <f>Details!C12</f>
        <v>46</v>
      </c>
      <c r="G4" s="29" t="s">
        <v>2</v>
      </c>
    </row>
    <row r="5" spans="1:7" ht="40.5" customHeight="1">
      <c r="A5" s="149" t="str">
        <f>Details!B11</f>
        <v>Maximum Operating Head for pumps (Difference in minimum sump level &amp; maximum discharge level+Maximum friction head+ losses in specials, entry &amp; exit)  </v>
      </c>
      <c r="B5" s="150"/>
      <c r="C5" s="150"/>
      <c r="D5" s="150"/>
      <c r="E5" s="151"/>
      <c r="F5" s="28">
        <f>Details!C11</f>
        <v>50</v>
      </c>
      <c r="G5" s="29" t="s">
        <v>2</v>
      </c>
    </row>
    <row r="6" spans="1:7" ht="16.5" customHeight="1">
      <c r="A6" s="147" t="str">
        <f>Details!B13</f>
        <v>Average Operating Head for pumps</v>
      </c>
      <c r="B6" s="148"/>
      <c r="C6" s="148"/>
      <c r="D6" s="148"/>
      <c r="E6" s="27"/>
      <c r="F6" s="30">
        <f>Details!C13</f>
        <v>48</v>
      </c>
      <c r="G6" s="29" t="s">
        <v>2</v>
      </c>
    </row>
    <row r="7" spans="1:14" ht="16.5" customHeight="1">
      <c r="A7" s="147" t="s">
        <v>87</v>
      </c>
      <c r="B7" s="148"/>
      <c r="C7" s="148"/>
      <c r="D7" s="148"/>
      <c r="E7" s="27"/>
      <c r="F7" s="28">
        <f>Details!C4</f>
        <v>100</v>
      </c>
      <c r="G7" s="29" t="s">
        <v>1</v>
      </c>
      <c r="H7" s="31"/>
      <c r="J7" s="32"/>
      <c r="K7" s="32"/>
      <c r="L7" s="140"/>
      <c r="M7" s="140"/>
      <c r="N7" s="34"/>
    </row>
    <row r="8" spans="1:14" ht="16.5" customHeight="1">
      <c r="A8" s="147" t="s">
        <v>48</v>
      </c>
      <c r="B8" s="148"/>
      <c r="C8" s="148"/>
      <c r="D8" s="148"/>
      <c r="E8" s="27"/>
      <c r="F8" s="35">
        <f>Details!C5</f>
        <v>23</v>
      </c>
      <c r="G8" s="36" t="s">
        <v>49</v>
      </c>
      <c r="I8" s="31"/>
      <c r="J8" s="33"/>
      <c r="K8" s="32"/>
      <c r="L8" s="33"/>
      <c r="M8" s="33"/>
      <c r="N8" s="34"/>
    </row>
    <row r="9" spans="1:7" ht="7.5" customHeight="1">
      <c r="A9" s="37"/>
      <c r="B9" s="38"/>
      <c r="C9" s="38"/>
      <c r="D9" s="39"/>
      <c r="E9" s="39"/>
      <c r="F9" s="38"/>
      <c r="G9" s="40"/>
    </row>
    <row r="10" spans="1:7" ht="18.75" customHeight="1">
      <c r="A10" s="143" t="s">
        <v>120</v>
      </c>
      <c r="B10" s="143"/>
      <c r="C10" s="143"/>
      <c r="D10" s="143"/>
      <c r="E10" s="143"/>
      <c r="F10" s="143"/>
      <c r="G10" s="143"/>
    </row>
    <row r="11" spans="1:9" s="45" customFormat="1" ht="16.5" customHeight="1">
      <c r="A11" s="157" t="s">
        <v>161</v>
      </c>
      <c r="B11" s="153"/>
      <c r="C11" s="43" t="s">
        <v>8</v>
      </c>
      <c r="D11" s="153" t="s">
        <v>162</v>
      </c>
      <c r="E11" s="153"/>
      <c r="F11" s="153"/>
      <c r="G11" s="44"/>
      <c r="I11" s="31"/>
    </row>
    <row r="12" spans="1:9" s="45" customFormat="1" ht="16.5" customHeight="1">
      <c r="A12" s="46" t="s">
        <v>3</v>
      </c>
      <c r="B12" s="47" t="s">
        <v>9</v>
      </c>
      <c r="C12" s="48" t="s">
        <v>8</v>
      </c>
      <c r="D12" s="154" t="s">
        <v>10</v>
      </c>
      <c r="E12" s="154"/>
      <c r="F12" s="154"/>
      <c r="G12" s="50"/>
      <c r="I12" s="31"/>
    </row>
    <row r="13" spans="1:9" s="45" customFormat="1" ht="16.5" customHeight="1">
      <c r="A13" s="46"/>
      <c r="B13" s="47" t="s">
        <v>11</v>
      </c>
      <c r="C13" s="48" t="s">
        <v>8</v>
      </c>
      <c r="D13" s="154" t="s">
        <v>53</v>
      </c>
      <c r="E13" s="154"/>
      <c r="F13" s="154"/>
      <c r="G13" s="50"/>
      <c r="I13" s="31"/>
    </row>
    <row r="14" spans="1:9" s="45" customFormat="1" ht="16.5" customHeight="1">
      <c r="A14" s="51"/>
      <c r="B14" s="52" t="s">
        <v>12</v>
      </c>
      <c r="C14" s="53" t="s">
        <v>8</v>
      </c>
      <c r="D14" s="155" t="s">
        <v>54</v>
      </c>
      <c r="E14" s="155"/>
      <c r="F14" s="155"/>
      <c r="G14" s="54"/>
      <c r="I14" s="31"/>
    </row>
    <row r="15" ht="11.25" customHeight="1"/>
    <row r="16" spans="1:7" ht="42.75" customHeight="1">
      <c r="A16" s="141" t="s">
        <v>174</v>
      </c>
      <c r="B16" s="141"/>
      <c r="C16" s="141"/>
      <c r="D16" s="141"/>
      <c r="E16" s="141"/>
      <c r="F16" s="141"/>
      <c r="G16" s="141"/>
    </row>
    <row r="17" spans="1:7" ht="36.75" customHeight="1">
      <c r="A17" s="156" t="s">
        <v>147</v>
      </c>
      <c r="B17" s="156"/>
      <c r="C17" s="156"/>
      <c r="D17" s="156"/>
      <c r="E17" s="156"/>
      <c r="F17" s="156"/>
      <c r="G17" s="156"/>
    </row>
    <row r="18" spans="1:8" ht="49.5" customHeight="1">
      <c r="A18" s="56" t="s">
        <v>51</v>
      </c>
      <c r="B18" s="57" t="s">
        <v>52</v>
      </c>
      <c r="C18" s="58" t="s">
        <v>84</v>
      </c>
      <c r="D18" s="58" t="s">
        <v>85</v>
      </c>
      <c r="E18" s="58" t="s">
        <v>86</v>
      </c>
      <c r="F18" s="57" t="s">
        <v>55</v>
      </c>
      <c r="G18" s="59" t="s">
        <v>50</v>
      </c>
      <c r="H18" s="26"/>
    </row>
    <row r="19" spans="1:8" ht="12.75">
      <c r="A19" s="60">
        <v>1</v>
      </c>
      <c r="B19" s="61">
        <v>1</v>
      </c>
      <c r="C19" s="62">
        <f>($F$7*10^6/($F$8*3600)/A19)*15.852</f>
        <v>19144.927536231888</v>
      </c>
      <c r="D19" s="62">
        <f aca="true" t="shared" si="0" ref="D19:D25">$F$6/0.3048</f>
        <v>157.48031496062993</v>
      </c>
      <c r="E19" s="62">
        <f aca="true" t="shared" si="1" ref="E19:E25">D19/B19</f>
        <v>157.48031496062993</v>
      </c>
      <c r="F19" s="61">
        <v>1500</v>
      </c>
      <c r="G19" s="63">
        <f aca="true" t="shared" si="2" ref="G19:G25">F19*C19^0.5/(E19^0.75)</f>
        <v>4668.7263206485095</v>
      </c>
      <c r="H19" s="26"/>
    </row>
    <row r="20" spans="1:8" ht="12.75">
      <c r="A20" s="60">
        <v>2</v>
      </c>
      <c r="B20" s="61">
        <v>1</v>
      </c>
      <c r="C20" s="62">
        <f>($F$7*10^6/($F$8*3600)/A20)*15.852</f>
        <v>9572.463768115944</v>
      </c>
      <c r="D20" s="62">
        <f t="shared" si="0"/>
        <v>157.48031496062993</v>
      </c>
      <c r="E20" s="62">
        <f t="shared" si="1"/>
        <v>157.48031496062993</v>
      </c>
      <c r="F20" s="61">
        <v>1500</v>
      </c>
      <c r="G20" s="63">
        <f t="shared" si="2"/>
        <v>3301.28804083468</v>
      </c>
      <c r="H20" s="26"/>
    </row>
    <row r="21" spans="1:8" ht="12.75">
      <c r="A21" s="64">
        <v>2</v>
      </c>
      <c r="B21" s="65">
        <v>1</v>
      </c>
      <c r="C21" s="66">
        <f>($F$7*10^6/($F$8*3600)/A21)*15.852</f>
        <v>9572.463768115944</v>
      </c>
      <c r="D21" s="66">
        <f t="shared" si="0"/>
        <v>157.48031496062993</v>
      </c>
      <c r="E21" s="66">
        <f t="shared" si="1"/>
        <v>157.48031496062993</v>
      </c>
      <c r="F21" s="65">
        <v>1000</v>
      </c>
      <c r="G21" s="67">
        <f t="shared" si="2"/>
        <v>2200.8586938897865</v>
      </c>
      <c r="H21" s="26"/>
    </row>
    <row r="22" spans="1:8" ht="12.75">
      <c r="A22" s="60">
        <v>3</v>
      </c>
      <c r="B22" s="61">
        <v>1</v>
      </c>
      <c r="C22" s="62">
        <f>($F$7*10^6/($F$8*3600)/A22)*15.852</f>
        <v>6381.642512077295</v>
      </c>
      <c r="D22" s="62">
        <f t="shared" si="0"/>
        <v>157.48031496062993</v>
      </c>
      <c r="E22" s="62">
        <f t="shared" si="1"/>
        <v>157.48031496062993</v>
      </c>
      <c r="F22" s="61">
        <v>1500</v>
      </c>
      <c r="G22" s="63">
        <f t="shared" si="2"/>
        <v>2695.4903979991072</v>
      </c>
      <c r="H22" s="26"/>
    </row>
    <row r="23" spans="1:8" ht="12.75">
      <c r="A23" s="60">
        <v>2</v>
      </c>
      <c r="B23" s="61">
        <v>2</v>
      </c>
      <c r="C23" s="62">
        <f>($F$7*10^6/($F$8*3600)/A23)*15.852</f>
        <v>9572.463768115944</v>
      </c>
      <c r="D23" s="62">
        <f t="shared" si="0"/>
        <v>157.48031496062993</v>
      </c>
      <c r="E23" s="62">
        <f t="shared" si="1"/>
        <v>78.74015748031496</v>
      </c>
      <c r="F23" s="61">
        <v>1500</v>
      </c>
      <c r="G23" s="63">
        <f t="shared" si="2"/>
        <v>5552.08255851568</v>
      </c>
      <c r="H23" s="26"/>
    </row>
    <row r="24" spans="1:8" ht="12.75">
      <c r="A24" s="64">
        <v>2</v>
      </c>
      <c r="B24" s="65">
        <v>1</v>
      </c>
      <c r="C24" s="68">
        <f>($F$7*10^6/($F$8*3600)/A24)*15.852/2</f>
        <v>4786.231884057972</v>
      </c>
      <c r="D24" s="66">
        <f t="shared" si="0"/>
        <v>157.48031496062993</v>
      </c>
      <c r="E24" s="66">
        <f t="shared" si="1"/>
        <v>157.48031496062993</v>
      </c>
      <c r="F24" s="65">
        <v>1500</v>
      </c>
      <c r="G24" s="67">
        <f t="shared" si="2"/>
        <v>2334.3631603242547</v>
      </c>
      <c r="H24" s="26"/>
    </row>
    <row r="25" spans="1:8" ht="12.75">
      <c r="A25" s="69">
        <v>2</v>
      </c>
      <c r="B25" s="70">
        <v>1</v>
      </c>
      <c r="C25" s="71">
        <f>($F$7*10^6/($F$8*3600)/A25)*15.852/2</f>
        <v>4786.231884057972</v>
      </c>
      <c r="D25" s="72">
        <f t="shared" si="0"/>
        <v>157.48031496062993</v>
      </c>
      <c r="E25" s="72">
        <f t="shared" si="1"/>
        <v>157.48031496062993</v>
      </c>
      <c r="F25" s="70">
        <v>1000</v>
      </c>
      <c r="G25" s="73">
        <f t="shared" si="2"/>
        <v>1556.2421068828364</v>
      </c>
      <c r="H25" s="26"/>
    </row>
    <row r="26" spans="1:8" ht="159.75" customHeight="1">
      <c r="A26" s="152" t="s">
        <v>175</v>
      </c>
      <c r="B26" s="152"/>
      <c r="C26" s="152"/>
      <c r="D26" s="152"/>
      <c r="E26" s="152"/>
      <c r="F26" s="152"/>
      <c r="G26" s="152"/>
      <c r="H26" s="26"/>
    </row>
  </sheetData>
  <sheetProtection/>
  <mergeCells count="17">
    <mergeCell ref="A26:G26"/>
    <mergeCell ref="D11:F11"/>
    <mergeCell ref="D12:F12"/>
    <mergeCell ref="D13:F13"/>
    <mergeCell ref="D14:F14"/>
    <mergeCell ref="A17:G17"/>
    <mergeCell ref="A11:B11"/>
    <mergeCell ref="L7:M7"/>
    <mergeCell ref="A16:G16"/>
    <mergeCell ref="A1:G1"/>
    <mergeCell ref="A10:G10"/>
    <mergeCell ref="A3:G3"/>
    <mergeCell ref="A6:D6"/>
    <mergeCell ref="A7:D7"/>
    <mergeCell ref="A8:D8"/>
    <mergeCell ref="A4:E4"/>
    <mergeCell ref="A5:E5"/>
  </mergeCells>
  <printOptions/>
  <pageMargins left="0.75" right="0.75" top="1" bottom="1" header="0.5" footer="0.5"/>
  <pageSetup horizontalDpi="2400" verticalDpi="2400" orientation="portrait" paperSize="9" scale="95" r:id="rId1"/>
</worksheet>
</file>

<file path=xl/worksheets/sheet3.xml><?xml version="1.0" encoding="utf-8"?>
<worksheet xmlns="http://schemas.openxmlformats.org/spreadsheetml/2006/main" xmlns:r="http://schemas.openxmlformats.org/officeDocument/2006/relationships">
  <dimension ref="A1:Y65"/>
  <sheetViews>
    <sheetView view="pageBreakPreview" zoomScale="98" zoomScaleSheetLayoutView="98" zoomScalePageLayoutView="0" workbookViewId="0" topLeftCell="A1">
      <selection activeCell="G62" sqref="G62:G63"/>
    </sheetView>
  </sheetViews>
  <sheetFormatPr defaultColWidth="9.140625" defaultRowHeight="12.75"/>
  <cols>
    <col min="1" max="1" width="13.421875" style="75" customWidth="1"/>
    <col min="2" max="2" width="13.28125" style="75" customWidth="1"/>
    <col min="3" max="3" width="11.421875" style="75" customWidth="1"/>
    <col min="4" max="4" width="11.140625" style="75" customWidth="1"/>
    <col min="5" max="5" width="11.57421875" style="75" customWidth="1"/>
    <col min="6" max="6" width="7.140625" style="77" customWidth="1"/>
    <col min="7" max="7" width="8.140625" style="75" customWidth="1"/>
    <col min="8" max="8" width="14.7109375" style="75" customWidth="1"/>
    <col min="9" max="16384" width="9.140625" style="75" customWidth="1"/>
  </cols>
  <sheetData>
    <row r="1" spans="1:8" ht="14.25">
      <c r="A1" s="169" t="s">
        <v>177</v>
      </c>
      <c r="B1" s="169"/>
      <c r="C1" s="169"/>
      <c r="D1" s="169"/>
      <c r="E1" s="169"/>
      <c r="F1" s="169"/>
      <c r="G1" s="169"/>
      <c r="H1" s="169"/>
    </row>
    <row r="2" spans="1:5" ht="7.5" customHeight="1">
      <c r="A2" s="76"/>
      <c r="B2" s="76"/>
      <c r="C2" s="76"/>
      <c r="D2" s="76"/>
      <c r="E2" s="76"/>
    </row>
    <row r="3" spans="1:8" s="25" customFormat="1" ht="55.5" customHeight="1">
      <c r="A3" s="141" t="s">
        <v>127</v>
      </c>
      <c r="B3" s="141"/>
      <c r="C3" s="141"/>
      <c r="D3" s="141"/>
      <c r="E3" s="141"/>
      <c r="F3" s="141"/>
      <c r="G3" s="141"/>
      <c r="H3" s="141"/>
    </row>
    <row r="4" spans="1:8" s="45" customFormat="1" ht="21" customHeight="1">
      <c r="A4" s="157" t="s">
        <v>163</v>
      </c>
      <c r="B4" s="153"/>
      <c r="C4" s="43" t="s">
        <v>8</v>
      </c>
      <c r="D4" s="153" t="s">
        <v>164</v>
      </c>
      <c r="E4" s="153"/>
      <c r="F4" s="153"/>
      <c r="G4" s="78"/>
      <c r="H4" s="44"/>
    </row>
    <row r="5" spans="1:8" s="45" customFormat="1" ht="12.75">
      <c r="A5" s="46" t="s">
        <v>3</v>
      </c>
      <c r="B5" s="47" t="s">
        <v>9</v>
      </c>
      <c r="C5" s="48" t="s">
        <v>8</v>
      </c>
      <c r="D5" s="154" t="s">
        <v>176</v>
      </c>
      <c r="E5" s="154"/>
      <c r="F5" s="154"/>
      <c r="G5" s="80"/>
      <c r="H5" s="50"/>
    </row>
    <row r="6" spans="1:8" s="45" customFormat="1" ht="12.75">
      <c r="A6" s="46"/>
      <c r="B6" s="47" t="s">
        <v>11</v>
      </c>
      <c r="C6" s="48" t="s">
        <v>8</v>
      </c>
      <c r="D6" s="154" t="s">
        <v>128</v>
      </c>
      <c r="E6" s="154"/>
      <c r="F6" s="154"/>
      <c r="G6" s="154"/>
      <c r="H6" s="50"/>
    </row>
    <row r="7" spans="1:8" s="45" customFormat="1" ht="12.75">
      <c r="A7" s="46"/>
      <c r="B7" s="47" t="s">
        <v>12</v>
      </c>
      <c r="C7" s="48" t="s">
        <v>8</v>
      </c>
      <c r="D7" s="154" t="s">
        <v>54</v>
      </c>
      <c r="E7" s="154"/>
      <c r="F7" s="154"/>
      <c r="G7" s="80"/>
      <c r="H7" s="50"/>
    </row>
    <row r="8" spans="1:8" s="45" customFormat="1" ht="15" customHeight="1">
      <c r="A8" s="158" t="s">
        <v>14</v>
      </c>
      <c r="B8" s="154"/>
      <c r="C8" s="48"/>
      <c r="D8" s="49"/>
      <c r="E8" s="49"/>
      <c r="F8" s="48"/>
      <c r="G8" s="80"/>
      <c r="H8" s="50"/>
    </row>
    <row r="9" spans="1:8" s="45" customFormat="1" ht="12.75" customHeight="1">
      <c r="A9" s="46"/>
      <c r="B9" s="47" t="s">
        <v>9</v>
      </c>
      <c r="C9" s="48" t="s">
        <v>8</v>
      </c>
      <c r="D9" s="128">
        <f>'Sp Speed'!F7*10^6/(23*3600)/(2)</f>
        <v>603.864734299517</v>
      </c>
      <c r="E9" s="48" t="s">
        <v>45</v>
      </c>
      <c r="F9" s="48" t="s">
        <v>8</v>
      </c>
      <c r="G9" s="82">
        <f>D9*15.852</f>
        <v>9572.463768115944</v>
      </c>
      <c r="H9" s="83" t="s">
        <v>15</v>
      </c>
    </row>
    <row r="10" spans="1:8" s="45" customFormat="1" ht="12.75">
      <c r="A10" s="84"/>
      <c r="B10" s="52" t="s">
        <v>12</v>
      </c>
      <c r="C10" s="53" t="s">
        <v>8</v>
      </c>
      <c r="D10" s="136">
        <v>1000</v>
      </c>
      <c r="E10" s="53" t="s">
        <v>46</v>
      </c>
      <c r="F10" s="53"/>
      <c r="G10" s="85"/>
      <c r="H10" s="54"/>
    </row>
    <row r="11" spans="1:6" s="45" customFormat="1" ht="15" customHeight="1">
      <c r="A11" s="86"/>
      <c r="B11" s="86"/>
      <c r="C11" s="31"/>
      <c r="D11" s="31"/>
      <c r="E11" s="31"/>
      <c r="F11" s="31"/>
    </row>
    <row r="12" spans="1:8" s="76" customFormat="1" ht="12.75">
      <c r="A12" s="160" t="s">
        <v>133</v>
      </c>
      <c r="B12" s="160"/>
      <c r="C12" s="160"/>
      <c r="D12" s="160"/>
      <c r="E12" s="160"/>
      <c r="F12" s="160"/>
      <c r="G12" s="160"/>
      <c r="H12" s="160"/>
    </row>
    <row r="13" ht="7.5" customHeight="1"/>
    <row r="14" spans="1:8" ht="12.75" hidden="1">
      <c r="A14" s="1" t="s">
        <v>56</v>
      </c>
      <c r="B14" s="76"/>
      <c r="C14" s="76"/>
      <c r="D14" s="76"/>
      <c r="F14" s="77" t="s">
        <v>8</v>
      </c>
      <c r="G14" s="87">
        <f>Details!C7</f>
        <v>232</v>
      </c>
      <c r="H14" s="75" t="s">
        <v>2</v>
      </c>
    </row>
    <row r="15" ht="7.5" customHeight="1" hidden="1"/>
    <row r="16" spans="1:8" ht="12.75" hidden="1">
      <c r="A16" s="1" t="s">
        <v>57</v>
      </c>
      <c r="B16" s="76"/>
      <c r="C16" s="76"/>
      <c r="D16" s="76"/>
      <c r="E16" s="76"/>
      <c r="F16" s="77" t="s">
        <v>8</v>
      </c>
      <c r="G16" s="75">
        <v>1.55</v>
      </c>
      <c r="H16" s="75" t="s">
        <v>2</v>
      </c>
    </row>
    <row r="17" ht="7.5" customHeight="1" hidden="1"/>
    <row r="18" spans="1:8" ht="12.75" hidden="1">
      <c r="A18" s="1" t="s">
        <v>58</v>
      </c>
      <c r="B18" s="76"/>
      <c r="C18" s="76"/>
      <c r="D18" s="76"/>
      <c r="E18" s="76"/>
      <c r="F18" s="77" t="s">
        <v>8</v>
      </c>
      <c r="G18" s="88">
        <f>G14-G16</f>
        <v>230.45</v>
      </c>
      <c r="H18" s="75" t="s">
        <v>2</v>
      </c>
    </row>
    <row r="19" ht="7.5" customHeight="1" hidden="1"/>
    <row r="20" spans="1:5" ht="12.75" hidden="1">
      <c r="A20" s="1" t="s">
        <v>59</v>
      </c>
      <c r="B20" s="76"/>
      <c r="C20" s="76"/>
      <c r="D20" s="76"/>
      <c r="E20" s="76"/>
    </row>
    <row r="21" ht="7.5" customHeight="1" hidden="1"/>
    <row r="22" spans="1:8" ht="12.75" hidden="1">
      <c r="A22" s="1" t="s">
        <v>60</v>
      </c>
      <c r="B22" s="76"/>
      <c r="C22" s="76"/>
      <c r="D22" s="76"/>
      <c r="E22" s="76"/>
      <c r="F22" s="77" t="s">
        <v>8</v>
      </c>
      <c r="G22" s="75">
        <v>1.3</v>
      </c>
      <c r="H22" s="75" t="s">
        <v>61</v>
      </c>
    </row>
    <row r="23" ht="7.5" customHeight="1" hidden="1"/>
    <row r="24" spans="1:8" ht="12.75" hidden="1">
      <c r="A24" s="1" t="s">
        <v>59</v>
      </c>
      <c r="B24" s="76"/>
      <c r="C24" s="76"/>
      <c r="D24" s="76"/>
      <c r="E24" s="76"/>
      <c r="F24" s="77" t="s">
        <v>8</v>
      </c>
      <c r="G24" s="88">
        <f>(((D9/1000)/(0.7854*G22))^0.5)*1000</f>
        <v>769.0466933137124</v>
      </c>
      <c r="H24" s="75" t="s">
        <v>0</v>
      </c>
    </row>
    <row r="25" ht="7.5" customHeight="1" hidden="1"/>
    <row r="26" spans="1:8" ht="12.75" hidden="1">
      <c r="A26" s="1" t="s">
        <v>17</v>
      </c>
      <c r="B26" s="76"/>
      <c r="C26" s="76"/>
      <c r="D26" s="76"/>
      <c r="E26" s="76"/>
      <c r="G26" s="75">
        <v>350</v>
      </c>
      <c r="H26" s="75" t="s">
        <v>0</v>
      </c>
    </row>
    <row r="27" ht="7.5" customHeight="1" hidden="1"/>
    <row r="28" spans="1:8" ht="12.75" hidden="1">
      <c r="A28" s="75" t="s">
        <v>62</v>
      </c>
      <c r="B28" s="76"/>
      <c r="C28" s="76"/>
      <c r="D28" s="76"/>
      <c r="E28" s="76"/>
      <c r="F28" s="77" t="s">
        <v>8</v>
      </c>
      <c r="G28" s="75">
        <v>0.45</v>
      </c>
      <c r="H28" s="75" t="s">
        <v>0</v>
      </c>
    </row>
    <row r="29" ht="7.5" customHeight="1" hidden="1"/>
    <row r="30" spans="1:8" ht="12.75" hidden="1">
      <c r="A30" s="1" t="s">
        <v>63</v>
      </c>
      <c r="B30" s="76"/>
      <c r="C30" s="76"/>
      <c r="D30" s="76"/>
      <c r="E30" s="76"/>
      <c r="F30" s="77" t="s">
        <v>8</v>
      </c>
      <c r="G30" s="87">
        <f>G14</f>
        <v>232</v>
      </c>
      <c r="H30" s="75" t="s">
        <v>2</v>
      </c>
    </row>
    <row r="31" ht="7.5" customHeight="1" hidden="1"/>
    <row r="32" spans="1:7" ht="12.75" hidden="1">
      <c r="A32" s="159" t="s">
        <v>64</v>
      </c>
      <c r="B32" s="159"/>
      <c r="C32" s="159"/>
      <c r="E32" s="89"/>
      <c r="F32" s="77" t="s">
        <v>8</v>
      </c>
      <c r="G32" s="75" t="s">
        <v>119</v>
      </c>
    </row>
    <row r="33" ht="7.5" customHeight="1" hidden="1"/>
    <row r="34" spans="1:8" ht="12.75" hidden="1">
      <c r="A34" s="1"/>
      <c r="B34" s="1"/>
      <c r="C34" s="1"/>
      <c r="F34" s="77" t="s">
        <v>8</v>
      </c>
      <c r="G34" s="89">
        <f>G18+G28</f>
        <v>230.89999999999998</v>
      </c>
      <c r="H34" s="1" t="s">
        <v>2</v>
      </c>
    </row>
    <row r="35" ht="7.5" customHeight="1" hidden="1"/>
    <row r="36" spans="1:8" ht="12.75" hidden="1">
      <c r="A36" s="159" t="s">
        <v>65</v>
      </c>
      <c r="B36" s="159"/>
      <c r="C36" s="159"/>
      <c r="D36" s="159"/>
      <c r="E36" s="159"/>
      <c r="F36" s="77" t="s">
        <v>8</v>
      </c>
      <c r="G36" s="89">
        <f>G34+0.3</f>
        <v>231.2</v>
      </c>
      <c r="H36" s="75" t="s">
        <v>2</v>
      </c>
    </row>
    <row r="37" ht="7.5" customHeight="1" hidden="1"/>
    <row r="38" spans="1:5" ht="12.75" hidden="1">
      <c r="A38" s="159" t="s">
        <v>66</v>
      </c>
      <c r="B38" s="159"/>
      <c r="C38" s="159"/>
      <c r="D38" s="159"/>
      <c r="E38" s="1"/>
    </row>
    <row r="39" ht="7.5" customHeight="1" hidden="1"/>
    <row r="40" spans="1:25" ht="12.75" hidden="1">
      <c r="A40" s="159" t="s">
        <v>67</v>
      </c>
      <c r="B40" s="159"/>
      <c r="C40" s="159"/>
      <c r="D40" s="159"/>
      <c r="E40" s="159"/>
      <c r="Y40" s="90"/>
    </row>
    <row r="41" ht="7.5" customHeight="1" hidden="1"/>
    <row r="42" spans="1:8" ht="12.75" hidden="1">
      <c r="A42" s="159" t="s">
        <v>68</v>
      </c>
      <c r="B42" s="159"/>
      <c r="C42" s="159"/>
      <c r="D42" s="159"/>
      <c r="E42" s="159"/>
      <c r="F42" s="77" t="s">
        <v>8</v>
      </c>
      <c r="G42" s="89">
        <f>G30-G36</f>
        <v>0.8000000000000114</v>
      </c>
      <c r="H42" s="75" t="s">
        <v>2</v>
      </c>
    </row>
    <row r="43" ht="7.5" customHeight="1" hidden="1"/>
    <row r="44" spans="1:8" ht="12.75" hidden="1">
      <c r="A44" s="159" t="s">
        <v>69</v>
      </c>
      <c r="B44" s="159"/>
      <c r="C44" s="159"/>
      <c r="D44" s="159"/>
      <c r="E44" s="159"/>
      <c r="F44" s="77" t="s">
        <v>8</v>
      </c>
      <c r="G44" s="89">
        <v>0.1</v>
      </c>
      <c r="H44" s="75" t="s">
        <v>2</v>
      </c>
    </row>
    <row r="45" ht="7.5" customHeight="1" hidden="1"/>
    <row r="46" spans="1:8" ht="12.75" hidden="1">
      <c r="A46" s="75" t="s">
        <v>70</v>
      </c>
      <c r="G46" s="89">
        <v>0.49</v>
      </c>
      <c r="H46" s="75" t="s">
        <v>2</v>
      </c>
    </row>
    <row r="47" ht="7.5" customHeight="1" hidden="1"/>
    <row r="48" spans="1:8" ht="12.75" hidden="1">
      <c r="A48" s="159" t="s">
        <v>71</v>
      </c>
      <c r="B48" s="159"/>
      <c r="C48" s="159"/>
      <c r="D48" s="159"/>
      <c r="E48" s="159"/>
      <c r="F48" s="77" t="s">
        <v>8</v>
      </c>
      <c r="G48" s="75">
        <v>10.33</v>
      </c>
      <c r="H48" s="75" t="s">
        <v>2</v>
      </c>
    </row>
    <row r="49" ht="7.5" customHeight="1" hidden="1"/>
    <row r="50" spans="1:7" ht="12.75" hidden="1">
      <c r="A50" s="168" t="s">
        <v>72</v>
      </c>
      <c r="B50" s="168"/>
      <c r="F50" s="77" t="s">
        <v>8</v>
      </c>
      <c r="G50" s="75" t="s">
        <v>73</v>
      </c>
    </row>
    <row r="51" ht="7.5" customHeight="1" hidden="1"/>
    <row r="52" spans="6:8" ht="12.75" hidden="1">
      <c r="F52" s="77" t="s">
        <v>8</v>
      </c>
      <c r="G52" s="89">
        <f>G48+G42-G44-G46</f>
        <v>10.540000000000012</v>
      </c>
      <c r="H52" s="1" t="s">
        <v>2</v>
      </c>
    </row>
    <row r="53" ht="7.5" customHeight="1" hidden="1"/>
    <row r="54" spans="5:8" ht="12.75" hidden="1">
      <c r="E54" s="90"/>
      <c r="F54" s="77" t="s">
        <v>8</v>
      </c>
      <c r="G54" s="91">
        <f>G52*3.28</f>
        <v>34.57120000000003</v>
      </c>
      <c r="H54" s="1" t="s">
        <v>74</v>
      </c>
    </row>
    <row r="55" ht="7.5" customHeight="1" hidden="1"/>
    <row r="56" spans="1:7" s="45" customFormat="1" ht="16.5" customHeight="1" hidden="1">
      <c r="A56" s="140" t="s">
        <v>165</v>
      </c>
      <c r="B56" s="140"/>
      <c r="F56" s="31" t="s">
        <v>8</v>
      </c>
      <c r="G56" s="92">
        <f>D10*(G9)^0.5/(G54)^0.75</f>
        <v>6862.399933168442</v>
      </c>
    </row>
    <row r="57" spans="6:8" s="45" customFormat="1" ht="12.75" hidden="1">
      <c r="F57" s="31" t="s">
        <v>8</v>
      </c>
      <c r="G57" s="92">
        <v>4400</v>
      </c>
      <c r="H57" s="45" t="s">
        <v>17</v>
      </c>
    </row>
    <row r="58" spans="1:8" ht="12.75">
      <c r="A58" s="157" t="s">
        <v>130</v>
      </c>
      <c r="B58" s="153"/>
      <c r="C58" s="153"/>
      <c r="D58" s="153"/>
      <c r="E58" s="93"/>
      <c r="F58" s="43" t="s">
        <v>8</v>
      </c>
      <c r="G58" s="94">
        <f>(D10*G9^0.5/(8500))^(4/3)</f>
        <v>25.989060883471527</v>
      </c>
      <c r="H58" s="95" t="s">
        <v>129</v>
      </c>
    </row>
    <row r="59" spans="1:8" ht="12.75">
      <c r="A59" s="96"/>
      <c r="B59" s="97"/>
      <c r="C59" s="97"/>
      <c r="D59" s="97"/>
      <c r="E59" s="97"/>
      <c r="F59" s="98"/>
      <c r="G59" s="97"/>
      <c r="H59" s="99"/>
    </row>
    <row r="60" spans="1:8" ht="12.75">
      <c r="A60" s="96"/>
      <c r="B60" s="97"/>
      <c r="C60" s="97"/>
      <c r="D60" s="97"/>
      <c r="E60" s="97"/>
      <c r="F60" s="98" t="s">
        <v>8</v>
      </c>
      <c r="G60" s="100">
        <f>G58*0.3048</f>
        <v>7.921465757282122</v>
      </c>
      <c r="H60" s="99" t="s">
        <v>2</v>
      </c>
    </row>
    <row r="61" spans="1:8" ht="12.75">
      <c r="A61" s="96"/>
      <c r="B61" s="97"/>
      <c r="C61" s="97"/>
      <c r="D61" s="97"/>
      <c r="E61" s="97"/>
      <c r="F61" s="98"/>
      <c r="G61" s="97"/>
      <c r="H61" s="99"/>
    </row>
    <row r="62" spans="1:8" ht="12.75" customHeight="1">
      <c r="A62" s="158" t="s">
        <v>131</v>
      </c>
      <c r="B62" s="154"/>
      <c r="C62" s="154"/>
      <c r="D62" s="154"/>
      <c r="E62" s="154"/>
      <c r="F62" s="162" t="s">
        <v>8</v>
      </c>
      <c r="G62" s="164">
        <f>10-G60</f>
        <v>2.078534242717878</v>
      </c>
      <c r="H62" s="166" t="s">
        <v>2</v>
      </c>
    </row>
    <row r="63" spans="1:8" ht="12.75">
      <c r="A63" s="161" t="s">
        <v>132</v>
      </c>
      <c r="B63" s="155"/>
      <c r="C63" s="155"/>
      <c r="D63" s="155"/>
      <c r="E63" s="155"/>
      <c r="F63" s="163"/>
      <c r="G63" s="165"/>
      <c r="H63" s="167"/>
    </row>
    <row r="64" ht="12.75">
      <c r="G64" s="101"/>
    </row>
    <row r="65" spans="1:8" ht="12.75">
      <c r="A65" s="159" t="s">
        <v>148</v>
      </c>
      <c r="B65" s="159"/>
      <c r="C65" s="159"/>
      <c r="D65" s="159"/>
      <c r="E65" s="159"/>
      <c r="F65" s="159"/>
      <c r="G65" s="159"/>
      <c r="H65" s="159"/>
    </row>
  </sheetData>
  <sheetProtection/>
  <mergeCells count="25">
    <mergeCell ref="A1:H1"/>
    <mergeCell ref="D6:G6"/>
    <mergeCell ref="A44:E44"/>
    <mergeCell ref="A40:E40"/>
    <mergeCell ref="A42:E42"/>
    <mergeCell ref="A65:H65"/>
    <mergeCell ref="A12:H12"/>
    <mergeCell ref="A63:E63"/>
    <mergeCell ref="F62:F63"/>
    <mergeCell ref="G62:G63"/>
    <mergeCell ref="A58:D58"/>
    <mergeCell ref="H62:H63"/>
    <mergeCell ref="A48:E48"/>
    <mergeCell ref="A50:B50"/>
    <mergeCell ref="A36:E36"/>
    <mergeCell ref="A3:H3"/>
    <mergeCell ref="A62:E62"/>
    <mergeCell ref="A56:B56"/>
    <mergeCell ref="A8:B8"/>
    <mergeCell ref="A32:C32"/>
    <mergeCell ref="A4:B4"/>
    <mergeCell ref="D4:F4"/>
    <mergeCell ref="D5:F5"/>
    <mergeCell ref="D7:F7"/>
    <mergeCell ref="A38:D38"/>
  </mergeCells>
  <printOptions/>
  <pageMargins left="0.75" right="0.75" top="1" bottom="1" header="0.5" footer="0.5"/>
  <pageSetup horizontalDpi="2400" verticalDpi="2400" orientation="portrait" paperSize="9" scale="95" r:id="rId1"/>
</worksheet>
</file>

<file path=xl/worksheets/sheet4.xml><?xml version="1.0" encoding="utf-8"?>
<worksheet xmlns="http://schemas.openxmlformats.org/spreadsheetml/2006/main" xmlns:r="http://schemas.openxmlformats.org/officeDocument/2006/relationships">
  <dimension ref="A1:IL70"/>
  <sheetViews>
    <sheetView view="pageBreakPreview" zoomScaleSheetLayoutView="100" zoomScalePageLayoutView="0" workbookViewId="0" topLeftCell="A4">
      <selection activeCell="H14" sqref="H14:H15"/>
    </sheetView>
  </sheetViews>
  <sheetFormatPr defaultColWidth="9.140625" defaultRowHeight="12.75"/>
  <cols>
    <col min="1" max="2" width="9.140625" style="45" customWidth="1"/>
    <col min="3" max="4" width="6.140625" style="45" customWidth="1"/>
    <col min="5" max="5" width="11.7109375" style="45" bestFit="1" customWidth="1"/>
    <col min="6" max="6" width="11.57421875" style="45" customWidth="1"/>
    <col min="7" max="7" width="9.421875" style="45" bestFit="1" customWidth="1"/>
    <col min="8" max="8" width="9.140625" style="45" customWidth="1"/>
    <col min="9" max="9" width="17.8515625" style="45" customWidth="1"/>
    <col min="10" max="10" width="11.57421875" style="45" bestFit="1" customWidth="1"/>
    <col min="11" max="16384" width="9.140625" style="45" customWidth="1"/>
  </cols>
  <sheetData>
    <row r="1" spans="1:9" ht="14.25">
      <c r="A1" s="172" t="s">
        <v>182</v>
      </c>
      <c r="B1" s="172"/>
      <c r="C1" s="172"/>
      <c r="D1" s="172"/>
      <c r="E1" s="172"/>
      <c r="F1" s="172"/>
      <c r="G1" s="172"/>
      <c r="H1" s="172"/>
      <c r="I1" s="172"/>
    </row>
    <row r="2" spans="1:9" ht="11.25" customHeight="1">
      <c r="A2" s="110"/>
      <c r="B2" s="110"/>
      <c r="C2" s="110"/>
      <c r="D2" s="110"/>
      <c r="E2" s="110"/>
      <c r="F2" s="110"/>
      <c r="G2" s="110"/>
      <c r="H2" s="110"/>
      <c r="I2" s="110"/>
    </row>
    <row r="3" spans="1:9" s="104" customFormat="1" ht="12.75">
      <c r="A3" s="173" t="s">
        <v>50</v>
      </c>
      <c r="B3" s="174"/>
      <c r="C3" s="174"/>
      <c r="D3" s="174"/>
      <c r="E3" s="102"/>
      <c r="F3" s="102"/>
      <c r="G3" s="102"/>
      <c r="H3" s="129"/>
      <c r="I3" s="103"/>
    </row>
    <row r="4" spans="1:9" ht="12.75">
      <c r="A4" s="46"/>
      <c r="B4" s="80"/>
      <c r="C4" s="80"/>
      <c r="D4" s="80"/>
      <c r="E4" s="80"/>
      <c r="F4" s="80"/>
      <c r="G4" s="80"/>
      <c r="H4" s="130"/>
      <c r="I4" s="50"/>
    </row>
    <row r="5" spans="1:9" ht="14.25" customHeight="1">
      <c r="A5" s="158" t="s">
        <v>161</v>
      </c>
      <c r="B5" s="154"/>
      <c r="C5" s="80"/>
      <c r="D5" s="48" t="s">
        <v>8</v>
      </c>
      <c r="E5" s="154" t="s">
        <v>162</v>
      </c>
      <c r="F5" s="154"/>
      <c r="G5" s="80"/>
      <c r="H5" s="130"/>
      <c r="I5" s="50"/>
    </row>
    <row r="6" spans="1:9" ht="15" customHeight="1">
      <c r="A6" s="46"/>
      <c r="B6" s="48"/>
      <c r="C6" s="49"/>
      <c r="D6" s="49"/>
      <c r="E6" s="49"/>
      <c r="F6" s="80"/>
      <c r="G6" s="80"/>
      <c r="H6" s="130"/>
      <c r="I6" s="50"/>
    </row>
    <row r="7" spans="1:9" ht="15" customHeight="1">
      <c r="A7" s="158" t="s">
        <v>3</v>
      </c>
      <c r="B7" s="154"/>
      <c r="C7" s="47" t="s">
        <v>9</v>
      </c>
      <c r="D7" s="48" t="s">
        <v>8</v>
      </c>
      <c r="E7" s="175" t="s">
        <v>76</v>
      </c>
      <c r="F7" s="175"/>
      <c r="G7" s="175"/>
      <c r="H7" s="130"/>
      <c r="I7" s="50"/>
    </row>
    <row r="8" spans="1:9" ht="15" customHeight="1">
      <c r="A8" s="46"/>
      <c r="B8" s="80"/>
      <c r="C8" s="47" t="s">
        <v>11</v>
      </c>
      <c r="D8" s="48" t="s">
        <v>8</v>
      </c>
      <c r="E8" s="175" t="s">
        <v>53</v>
      </c>
      <c r="F8" s="175"/>
      <c r="G8" s="175"/>
      <c r="H8" s="130"/>
      <c r="I8" s="50"/>
    </row>
    <row r="9" spans="1:9" ht="15" customHeight="1">
      <c r="A9" s="46"/>
      <c r="B9" s="80"/>
      <c r="C9" s="47" t="s">
        <v>12</v>
      </c>
      <c r="D9" s="48" t="s">
        <v>8</v>
      </c>
      <c r="E9" s="175" t="s">
        <v>13</v>
      </c>
      <c r="F9" s="175"/>
      <c r="G9" s="175"/>
      <c r="H9" s="130"/>
      <c r="I9" s="50"/>
    </row>
    <row r="10" spans="1:9" ht="12.75">
      <c r="A10" s="105"/>
      <c r="B10" s="131"/>
      <c r="C10" s="49"/>
      <c r="D10" s="49"/>
      <c r="E10" s="49"/>
      <c r="F10" s="80"/>
      <c r="G10" s="80"/>
      <c r="H10" s="80"/>
      <c r="I10" s="50"/>
    </row>
    <row r="11" spans="1:9" ht="26.25" customHeight="1">
      <c r="A11" s="176" t="s">
        <v>140</v>
      </c>
      <c r="B11" s="162"/>
      <c r="C11" s="47" t="s">
        <v>9</v>
      </c>
      <c r="D11" s="48" t="s">
        <v>8</v>
      </c>
      <c r="E11" s="62">
        <f>'Sp Speed'!F7*10^6/(23*3600)/(2)</f>
        <v>603.864734299517</v>
      </c>
      <c r="F11" s="48" t="s">
        <v>45</v>
      </c>
      <c r="G11" s="48" t="s">
        <v>8</v>
      </c>
      <c r="H11" s="82">
        <f>E11*15.852</f>
        <v>9572.463768115944</v>
      </c>
      <c r="I11" s="50" t="s">
        <v>15</v>
      </c>
    </row>
    <row r="12" spans="1:11" ht="12.75" customHeight="1">
      <c r="A12" s="106"/>
      <c r="B12" s="48"/>
      <c r="C12" s="47" t="s">
        <v>11</v>
      </c>
      <c r="D12" s="48" t="s">
        <v>8</v>
      </c>
      <c r="E12" s="62">
        <f>Details!C13</f>
        <v>48</v>
      </c>
      <c r="F12" s="48" t="s">
        <v>75</v>
      </c>
      <c r="G12" s="48" t="s">
        <v>8</v>
      </c>
      <c r="H12" s="82">
        <f>E12/0.3048</f>
        <v>157.48031496062993</v>
      </c>
      <c r="I12" s="50" t="s">
        <v>16</v>
      </c>
      <c r="K12" s="107"/>
    </row>
    <row r="13" spans="1:9" ht="12.75">
      <c r="A13" s="106"/>
      <c r="B13" s="48"/>
      <c r="C13" s="47" t="s">
        <v>12</v>
      </c>
      <c r="D13" s="48" t="s">
        <v>8</v>
      </c>
      <c r="E13" s="137">
        <v>1000</v>
      </c>
      <c r="F13" s="48" t="s">
        <v>46</v>
      </c>
      <c r="G13" s="48"/>
      <c r="H13" s="80"/>
      <c r="I13" s="50"/>
    </row>
    <row r="14" spans="1:9" ht="12.75">
      <c r="A14" s="46"/>
      <c r="B14" s="80"/>
      <c r="C14" s="80"/>
      <c r="D14" s="80"/>
      <c r="E14" s="80"/>
      <c r="F14" s="80"/>
      <c r="G14" s="80"/>
      <c r="H14" s="80"/>
      <c r="I14" s="50"/>
    </row>
    <row r="15" spans="1:9" ht="18" customHeight="1">
      <c r="A15" s="170" t="s">
        <v>165</v>
      </c>
      <c r="B15" s="155"/>
      <c r="C15" s="85"/>
      <c r="D15" s="53" t="s">
        <v>8</v>
      </c>
      <c r="E15" s="72">
        <f>E13*(H11)^0.5/(H12)^0.75</f>
        <v>2200.8586938897865</v>
      </c>
      <c r="F15" s="85"/>
      <c r="G15" s="85"/>
      <c r="H15" s="85"/>
      <c r="I15" s="54"/>
    </row>
    <row r="16" spans="1:9" ht="18" customHeight="1">
      <c r="A16" s="108"/>
      <c r="B16" s="108"/>
      <c r="C16" s="24"/>
      <c r="D16" s="109"/>
      <c r="E16" s="26"/>
      <c r="F16" s="24"/>
      <c r="G16" s="24"/>
      <c r="H16" s="24"/>
      <c r="I16" s="24"/>
    </row>
    <row r="17" spans="1:9" ht="42" customHeight="1">
      <c r="A17" s="140" t="s">
        <v>141</v>
      </c>
      <c r="B17" s="140"/>
      <c r="C17" s="140"/>
      <c r="D17" s="140"/>
      <c r="E17" s="140"/>
      <c r="F17" s="140"/>
      <c r="G17" s="140"/>
      <c r="H17" s="140"/>
      <c r="I17" s="140"/>
    </row>
    <row r="18" spans="1:9" ht="15" customHeight="1">
      <c r="A18" s="33"/>
      <c r="B18" s="33"/>
      <c r="C18" s="33"/>
      <c r="D18" s="33"/>
      <c r="E18" s="33"/>
      <c r="F18" s="33"/>
      <c r="G18" s="33"/>
      <c r="H18" s="33"/>
      <c r="I18" s="33"/>
    </row>
    <row r="19" spans="1:5" s="104" customFormat="1" ht="18.75" customHeight="1">
      <c r="A19" s="171" t="s">
        <v>18</v>
      </c>
      <c r="B19" s="171"/>
      <c r="C19" s="171"/>
      <c r="D19" s="171"/>
      <c r="E19" s="171"/>
    </row>
    <row r="20" spans="1:9" ht="30" customHeight="1">
      <c r="A20" s="140" t="s">
        <v>166</v>
      </c>
      <c r="B20" s="140"/>
      <c r="C20" s="140"/>
      <c r="D20" s="140"/>
      <c r="E20" s="140"/>
      <c r="F20" s="140"/>
      <c r="G20" s="140"/>
      <c r="H20" s="140"/>
      <c r="I20" s="140"/>
    </row>
    <row r="21" spans="1:9" ht="69" customHeight="1">
      <c r="A21" s="140" t="s">
        <v>167</v>
      </c>
      <c r="B21" s="140"/>
      <c r="C21" s="140"/>
      <c r="D21" s="140"/>
      <c r="E21" s="140"/>
      <c r="F21" s="140"/>
      <c r="G21" s="140"/>
      <c r="H21" s="140"/>
      <c r="I21" s="140"/>
    </row>
    <row r="22" spans="1:9" ht="15" customHeight="1">
      <c r="A22" s="33"/>
      <c r="B22" s="33"/>
      <c r="C22" s="33"/>
      <c r="D22" s="33"/>
      <c r="E22" s="33"/>
      <c r="F22" s="33"/>
      <c r="G22" s="33"/>
      <c r="H22" s="33"/>
      <c r="I22" s="33"/>
    </row>
    <row r="23" spans="1:9" ht="12.75">
      <c r="A23" s="171" t="s">
        <v>121</v>
      </c>
      <c r="B23" s="171"/>
      <c r="C23" s="171"/>
      <c r="D23" s="171"/>
      <c r="E23" s="171"/>
      <c r="F23" s="171"/>
      <c r="G23" s="171"/>
      <c r="H23" s="171"/>
      <c r="I23" s="171"/>
    </row>
    <row r="24" spans="1:9" ht="38.25" customHeight="1">
      <c r="A24" s="140" t="s">
        <v>136</v>
      </c>
      <c r="B24" s="140"/>
      <c r="C24" s="140"/>
      <c r="D24" s="140"/>
      <c r="E24" s="140"/>
      <c r="F24" s="140"/>
      <c r="G24" s="140"/>
      <c r="H24" s="140"/>
      <c r="I24" s="140"/>
    </row>
    <row r="25" spans="1:7" s="24" customFormat="1" ht="24" customHeight="1">
      <c r="A25" s="177" t="s">
        <v>19</v>
      </c>
      <c r="B25" s="177"/>
      <c r="C25" s="177"/>
      <c r="D25" s="177"/>
      <c r="E25" s="177"/>
      <c r="F25" s="177"/>
      <c r="G25" s="177"/>
    </row>
    <row r="26" spans="1:9" s="24" customFormat="1" ht="15" customHeight="1">
      <c r="A26" s="157" t="s">
        <v>20</v>
      </c>
      <c r="B26" s="153"/>
      <c r="C26" s="78"/>
      <c r="D26" s="43" t="s">
        <v>8</v>
      </c>
      <c r="E26" s="111">
        <v>0.94</v>
      </c>
      <c r="F26" s="180" t="s">
        <v>21</v>
      </c>
      <c r="G26" s="180"/>
      <c r="H26" s="180"/>
      <c r="I26" s="181"/>
    </row>
    <row r="27" spans="1:9" s="24" customFormat="1" ht="15" customHeight="1">
      <c r="A27" s="158" t="s">
        <v>22</v>
      </c>
      <c r="B27" s="154"/>
      <c r="C27" s="80"/>
      <c r="D27" s="48" t="s">
        <v>8</v>
      </c>
      <c r="E27" s="112">
        <v>0.88</v>
      </c>
      <c r="F27" s="112"/>
      <c r="G27" s="80"/>
      <c r="H27" s="80"/>
      <c r="I27" s="50"/>
    </row>
    <row r="28" spans="1:10" s="24" customFormat="1" ht="25.5" customHeight="1">
      <c r="A28" s="158" t="s">
        <v>23</v>
      </c>
      <c r="B28" s="154"/>
      <c r="C28" s="80"/>
      <c r="D28" s="48" t="s">
        <v>8</v>
      </c>
      <c r="E28" s="49" t="s">
        <v>137</v>
      </c>
      <c r="F28" s="49"/>
      <c r="G28" s="80"/>
      <c r="H28" s="80"/>
      <c r="I28" s="50"/>
      <c r="J28" s="108"/>
    </row>
    <row r="29" spans="1:9" s="24" customFormat="1" ht="12.75">
      <c r="A29" s="46"/>
      <c r="B29" s="80"/>
      <c r="C29" s="80"/>
      <c r="D29" s="48" t="s">
        <v>8</v>
      </c>
      <c r="E29" s="113">
        <f>E26*E27</f>
        <v>0.8271999999999999</v>
      </c>
      <c r="F29" s="80"/>
      <c r="G29" s="80"/>
      <c r="H29" s="80"/>
      <c r="I29" s="50"/>
    </row>
    <row r="30" spans="1:9" s="24" customFormat="1" ht="12.75">
      <c r="A30" s="51"/>
      <c r="B30" s="85"/>
      <c r="C30" s="85"/>
      <c r="D30" s="53" t="s">
        <v>8</v>
      </c>
      <c r="E30" s="114">
        <v>0.825</v>
      </c>
      <c r="F30" s="85"/>
      <c r="G30" s="85"/>
      <c r="H30" s="85"/>
      <c r="I30" s="54"/>
    </row>
    <row r="31" s="24" customFormat="1" ht="12.75"/>
    <row r="32" spans="1:3" s="24" customFormat="1" ht="12.75">
      <c r="A32" s="177" t="s">
        <v>77</v>
      </c>
      <c r="B32" s="177"/>
      <c r="C32" s="177"/>
    </row>
    <row r="33" spans="1:7" s="24" customFormat="1" ht="22.5" customHeight="1">
      <c r="A33" s="41"/>
      <c r="B33" s="42"/>
      <c r="C33" s="78"/>
      <c r="D33" s="43" t="s">
        <v>8</v>
      </c>
      <c r="E33" s="153" t="s">
        <v>24</v>
      </c>
      <c r="F33" s="153"/>
      <c r="G33" s="79"/>
    </row>
    <row r="34" spans="1:7" s="24" customFormat="1" ht="12.75" customHeight="1">
      <c r="A34" s="46" t="s">
        <v>3</v>
      </c>
      <c r="B34" s="80"/>
      <c r="C34" s="47" t="s">
        <v>9</v>
      </c>
      <c r="D34" s="48" t="s">
        <v>8</v>
      </c>
      <c r="E34" s="154" t="s">
        <v>79</v>
      </c>
      <c r="F34" s="154"/>
      <c r="G34" s="166"/>
    </row>
    <row r="35" spans="1:7" s="24" customFormat="1" ht="12.75" customHeight="1">
      <c r="A35" s="46"/>
      <c r="B35" s="80"/>
      <c r="C35" s="47" t="s">
        <v>25</v>
      </c>
      <c r="D35" s="48" t="s">
        <v>8</v>
      </c>
      <c r="E35" s="154" t="s">
        <v>26</v>
      </c>
      <c r="F35" s="154"/>
      <c r="G35" s="166"/>
    </row>
    <row r="36" spans="1:7" s="24" customFormat="1" ht="12.75" customHeight="1">
      <c r="A36" s="46"/>
      <c r="B36" s="80"/>
      <c r="C36" s="47" t="s">
        <v>27</v>
      </c>
      <c r="D36" s="48" t="s">
        <v>8</v>
      </c>
      <c r="E36" s="154" t="s">
        <v>28</v>
      </c>
      <c r="F36" s="154"/>
      <c r="G36" s="166"/>
    </row>
    <row r="37" spans="1:7" s="24" customFormat="1" ht="22.5" customHeight="1">
      <c r="A37" s="115"/>
      <c r="B37" s="48"/>
      <c r="C37" s="80"/>
      <c r="D37" s="48" t="s">
        <v>8</v>
      </c>
      <c r="E37" s="154" t="s">
        <v>154</v>
      </c>
      <c r="F37" s="154"/>
      <c r="G37" s="166"/>
    </row>
    <row r="38" spans="1:7" s="24" customFormat="1" ht="12.75">
      <c r="A38" s="46"/>
      <c r="B38" s="80"/>
      <c r="C38" s="80"/>
      <c r="D38" s="48" t="s">
        <v>8</v>
      </c>
      <c r="E38" s="116">
        <f>9.81*E11*E12/E30/1000</f>
        <v>344.66403162055343</v>
      </c>
      <c r="F38" s="80" t="s">
        <v>29</v>
      </c>
      <c r="G38" s="50"/>
    </row>
    <row r="39" spans="1:7" s="24" customFormat="1" ht="12.75">
      <c r="A39" s="51"/>
      <c r="B39" s="85"/>
      <c r="C39" s="85"/>
      <c r="D39" s="53" t="s">
        <v>8</v>
      </c>
      <c r="E39" s="38">
        <v>345</v>
      </c>
      <c r="F39" s="85" t="s">
        <v>29</v>
      </c>
      <c r="G39" s="54" t="s">
        <v>17</v>
      </c>
    </row>
    <row r="40" s="24" customFormat="1" ht="12.75"/>
    <row r="41" spans="1:7" ht="18.75" customHeight="1">
      <c r="A41" s="140" t="s">
        <v>30</v>
      </c>
      <c r="B41" s="140"/>
      <c r="C41" s="140"/>
      <c r="D41" s="140"/>
      <c r="E41" s="140"/>
      <c r="F41" s="140"/>
      <c r="G41" s="140"/>
    </row>
    <row r="42" spans="1:7" ht="15" customHeight="1">
      <c r="A42" s="33"/>
      <c r="B42" s="33"/>
      <c r="C42" s="33"/>
      <c r="D42" s="33"/>
      <c r="E42" s="33"/>
      <c r="F42" s="33"/>
      <c r="G42" s="33"/>
    </row>
    <row r="43" spans="1:9" ht="18.75" customHeight="1">
      <c r="A43" s="157" t="s">
        <v>31</v>
      </c>
      <c r="B43" s="153"/>
      <c r="C43" s="153"/>
      <c r="D43" s="178" t="s">
        <v>8</v>
      </c>
      <c r="E43" s="153" t="s">
        <v>32</v>
      </c>
      <c r="F43" s="153"/>
      <c r="G43" s="153"/>
      <c r="H43" s="153"/>
      <c r="I43" s="179"/>
    </row>
    <row r="44" spans="1:9" ht="11.25" customHeight="1">
      <c r="A44" s="158"/>
      <c r="B44" s="154"/>
      <c r="C44" s="154"/>
      <c r="D44" s="162"/>
      <c r="E44" s="154"/>
      <c r="F44" s="154"/>
      <c r="G44" s="154"/>
      <c r="H44" s="154"/>
      <c r="I44" s="166"/>
    </row>
    <row r="45" spans="1:9" ht="22.5" customHeight="1">
      <c r="A45" s="158" t="s">
        <v>33</v>
      </c>
      <c r="B45" s="154"/>
      <c r="C45" s="154"/>
      <c r="D45" s="48" t="s">
        <v>8</v>
      </c>
      <c r="E45" s="154" t="s">
        <v>34</v>
      </c>
      <c r="F45" s="154"/>
      <c r="G45" s="154"/>
      <c r="H45" s="154"/>
      <c r="I45" s="166"/>
    </row>
    <row r="46" spans="1:9" ht="12.75">
      <c r="A46" s="81"/>
      <c r="B46" s="49"/>
      <c r="C46" s="49"/>
      <c r="D46" s="80"/>
      <c r="E46" s="80"/>
      <c r="F46" s="80"/>
      <c r="G46" s="80"/>
      <c r="H46" s="80"/>
      <c r="I46" s="50"/>
    </row>
    <row r="47" spans="1:9" ht="36.75" customHeight="1">
      <c r="A47" s="170" t="s">
        <v>35</v>
      </c>
      <c r="B47" s="155"/>
      <c r="C47" s="155"/>
      <c r="D47" s="53" t="s">
        <v>8</v>
      </c>
      <c r="E47" s="155" t="s">
        <v>36</v>
      </c>
      <c r="F47" s="155"/>
      <c r="G47" s="155"/>
      <c r="H47" s="155"/>
      <c r="I47" s="167"/>
    </row>
    <row r="48" spans="1:3" ht="12.75">
      <c r="A48" s="33"/>
      <c r="B48" s="33"/>
      <c r="C48" s="33"/>
    </row>
    <row r="49" spans="1:9" ht="18.75" customHeight="1">
      <c r="A49" s="140" t="s">
        <v>82</v>
      </c>
      <c r="B49" s="140"/>
      <c r="C49" s="140"/>
      <c r="D49" s="140"/>
      <c r="E49" s="140"/>
      <c r="F49" s="140"/>
      <c r="G49" s="140"/>
      <c r="H49" s="140"/>
      <c r="I49" s="140"/>
    </row>
    <row r="50" spans="1:246" ht="36.75" customHeight="1">
      <c r="A50" s="140" t="s">
        <v>151</v>
      </c>
      <c r="B50" s="140"/>
      <c r="C50" s="140"/>
      <c r="D50" s="140"/>
      <c r="E50" s="140"/>
      <c r="F50" s="140"/>
      <c r="G50" s="140"/>
      <c r="H50" s="140"/>
      <c r="I50" s="140"/>
      <c r="J50" s="33"/>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c r="BV50" s="140"/>
      <c r="BW50" s="140"/>
      <c r="BX50" s="140"/>
      <c r="BY50" s="140"/>
      <c r="BZ50" s="140"/>
      <c r="CA50" s="140"/>
      <c r="CB50" s="140"/>
      <c r="CC50" s="140"/>
      <c r="CD50" s="140"/>
      <c r="CE50" s="140"/>
      <c r="CF50" s="140"/>
      <c r="CG50" s="140"/>
      <c r="CH50" s="140"/>
      <c r="CI50" s="140"/>
      <c r="CJ50" s="140"/>
      <c r="CK50" s="140"/>
      <c r="CL50" s="140"/>
      <c r="CM50" s="140"/>
      <c r="CN50" s="140"/>
      <c r="CO50" s="140"/>
      <c r="CP50" s="140"/>
      <c r="CQ50" s="140"/>
      <c r="CR50" s="140"/>
      <c r="CS50" s="140"/>
      <c r="CT50" s="140"/>
      <c r="CU50" s="140"/>
      <c r="CV50" s="140"/>
      <c r="CW50" s="140"/>
      <c r="CX50" s="140"/>
      <c r="CY50" s="140"/>
      <c r="CZ50" s="140"/>
      <c r="DA50" s="140"/>
      <c r="DB50" s="140"/>
      <c r="DC50" s="140"/>
      <c r="DD50" s="140"/>
      <c r="DE50" s="140"/>
      <c r="DF50" s="140"/>
      <c r="DG50" s="140"/>
      <c r="DH50" s="140"/>
      <c r="DI50" s="140"/>
      <c r="DJ50" s="140"/>
      <c r="DK50" s="140"/>
      <c r="DL50" s="140"/>
      <c r="DM50" s="140"/>
      <c r="DN50" s="140"/>
      <c r="DO50" s="140"/>
      <c r="DP50" s="140"/>
      <c r="DQ50" s="140"/>
      <c r="DR50" s="140"/>
      <c r="DS50" s="140"/>
      <c r="DT50" s="140"/>
      <c r="DU50" s="140"/>
      <c r="DV50" s="140"/>
      <c r="DW50" s="140"/>
      <c r="DX50" s="140"/>
      <c r="DY50" s="140"/>
      <c r="DZ50" s="140"/>
      <c r="EA50" s="140"/>
      <c r="EB50" s="140"/>
      <c r="EC50" s="140"/>
      <c r="ED50" s="140"/>
      <c r="EE50" s="140"/>
      <c r="EF50" s="140"/>
      <c r="EG50" s="140"/>
      <c r="EH50" s="140"/>
      <c r="EI50" s="140"/>
      <c r="EJ50" s="140"/>
      <c r="EK50" s="140"/>
      <c r="EL50" s="140"/>
      <c r="EM50" s="140"/>
      <c r="EN50" s="140"/>
      <c r="EO50" s="140"/>
      <c r="EP50" s="140"/>
      <c r="EQ50" s="140"/>
      <c r="ER50" s="140"/>
      <c r="ES50" s="140"/>
      <c r="ET50" s="140"/>
      <c r="EU50" s="140"/>
      <c r="EV50" s="140"/>
      <c r="EW50" s="140"/>
      <c r="EX50" s="140"/>
      <c r="EY50" s="140"/>
      <c r="EZ50" s="140"/>
      <c r="FA50" s="140"/>
      <c r="FB50" s="140"/>
      <c r="FC50" s="140"/>
      <c r="FD50" s="140"/>
      <c r="FE50" s="140"/>
      <c r="FF50" s="140"/>
      <c r="FG50" s="140"/>
      <c r="FH50" s="140"/>
      <c r="FI50" s="140"/>
      <c r="FJ50" s="140"/>
      <c r="FK50" s="140"/>
      <c r="FL50" s="140"/>
      <c r="FM50" s="140"/>
      <c r="FN50" s="140"/>
      <c r="FO50" s="140"/>
      <c r="FP50" s="140"/>
      <c r="FQ50" s="140"/>
      <c r="FR50" s="140"/>
      <c r="FS50" s="140"/>
      <c r="FT50" s="140"/>
      <c r="FU50" s="140"/>
      <c r="FV50" s="140"/>
      <c r="FW50" s="140"/>
      <c r="FX50" s="140"/>
      <c r="FY50" s="140"/>
      <c r="FZ50" s="140"/>
      <c r="GA50" s="140"/>
      <c r="GB50" s="140"/>
      <c r="GC50" s="140"/>
      <c r="GD50" s="140"/>
      <c r="GE50" s="140"/>
      <c r="GF50" s="140"/>
      <c r="GG50" s="140"/>
      <c r="GH50" s="140"/>
      <c r="GI50" s="140"/>
      <c r="GJ50" s="140"/>
      <c r="GK50" s="140"/>
      <c r="GL50" s="140"/>
      <c r="GM50" s="140"/>
      <c r="GN50" s="140"/>
      <c r="GO50" s="140"/>
      <c r="GP50" s="140"/>
      <c r="GQ50" s="140"/>
      <c r="GR50" s="140"/>
      <c r="GS50" s="140"/>
      <c r="GT50" s="140"/>
      <c r="GU50" s="140"/>
      <c r="GV50" s="140"/>
      <c r="GW50" s="140"/>
      <c r="GX50" s="140"/>
      <c r="GY50" s="140"/>
      <c r="GZ50" s="140"/>
      <c r="HA50" s="140"/>
      <c r="HB50" s="140"/>
      <c r="HC50" s="140"/>
      <c r="HD50" s="140"/>
      <c r="HE50" s="140"/>
      <c r="HF50" s="140"/>
      <c r="HG50" s="140"/>
      <c r="HH50" s="140"/>
      <c r="HI50" s="140"/>
      <c r="HJ50" s="140"/>
      <c r="HK50" s="140"/>
      <c r="HL50" s="140"/>
      <c r="HM50" s="140"/>
      <c r="HN50" s="140"/>
      <c r="HO50" s="140"/>
      <c r="HP50" s="140"/>
      <c r="HQ50" s="140"/>
      <c r="HR50" s="140"/>
      <c r="HS50" s="140"/>
      <c r="HT50" s="140"/>
      <c r="HU50" s="140"/>
      <c r="HV50" s="140"/>
      <c r="HW50" s="140"/>
      <c r="HX50" s="140"/>
      <c r="HY50" s="140"/>
      <c r="HZ50" s="140"/>
      <c r="IA50" s="140"/>
      <c r="IB50" s="140"/>
      <c r="IC50" s="140"/>
      <c r="ID50" s="140"/>
      <c r="IE50" s="140"/>
      <c r="IF50" s="140"/>
      <c r="IG50" s="140"/>
      <c r="IH50" s="140"/>
      <c r="II50" s="140"/>
      <c r="IJ50" s="140"/>
      <c r="IK50" s="140"/>
      <c r="IL50" s="140"/>
    </row>
    <row r="51" spans="1:246" ht="31.5" customHeight="1">
      <c r="A51" s="140" t="s">
        <v>150</v>
      </c>
      <c r="B51" s="140"/>
      <c r="C51" s="140"/>
      <c r="D51" s="140"/>
      <c r="E51" s="140"/>
      <c r="F51" s="140"/>
      <c r="G51" s="140"/>
      <c r="H51" s="140"/>
      <c r="I51" s="140"/>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c r="GS51" s="33"/>
      <c r="GT51" s="33"/>
      <c r="GU51" s="33"/>
      <c r="GV51" s="33"/>
      <c r="GW51" s="33"/>
      <c r="GX51" s="33"/>
      <c r="GY51" s="33"/>
      <c r="GZ51" s="33"/>
      <c r="HA51" s="33"/>
      <c r="HB51" s="33"/>
      <c r="HC51" s="33"/>
      <c r="HD51" s="33"/>
      <c r="HE51" s="33"/>
      <c r="HF51" s="33"/>
      <c r="HG51" s="33"/>
      <c r="HH51" s="33"/>
      <c r="HI51" s="33"/>
      <c r="HJ51" s="33"/>
      <c r="HK51" s="33"/>
      <c r="HL51" s="33"/>
      <c r="HM51" s="33"/>
      <c r="HN51" s="33"/>
      <c r="HO51" s="33"/>
      <c r="HP51" s="33"/>
      <c r="HQ51" s="33"/>
      <c r="HR51" s="33"/>
      <c r="HS51" s="33"/>
      <c r="HT51" s="33"/>
      <c r="HU51" s="33"/>
      <c r="HV51" s="33"/>
      <c r="HW51" s="33"/>
      <c r="HX51" s="33"/>
      <c r="HY51" s="33"/>
      <c r="HZ51" s="33"/>
      <c r="IA51" s="33"/>
      <c r="IB51" s="33"/>
      <c r="IC51" s="33"/>
      <c r="ID51" s="33"/>
      <c r="IE51" s="33"/>
      <c r="IF51" s="33"/>
      <c r="IG51" s="33"/>
      <c r="IH51" s="33"/>
      <c r="II51" s="33"/>
      <c r="IJ51" s="33"/>
      <c r="IK51" s="33"/>
      <c r="IL51" s="33"/>
    </row>
    <row r="52" spans="1:246" ht="31.5" customHeight="1">
      <c r="A52" s="140" t="s">
        <v>152</v>
      </c>
      <c r="B52" s="140"/>
      <c r="C52" s="140"/>
      <c r="D52" s="140"/>
      <c r="E52" s="140"/>
      <c r="F52" s="140"/>
      <c r="G52" s="140"/>
      <c r="H52" s="140"/>
      <c r="I52" s="140"/>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c r="HJ52" s="33"/>
      <c r="HK52" s="33"/>
      <c r="HL52" s="33"/>
      <c r="HM52" s="33"/>
      <c r="HN52" s="33"/>
      <c r="HO52" s="33"/>
      <c r="HP52" s="33"/>
      <c r="HQ52" s="33"/>
      <c r="HR52" s="33"/>
      <c r="HS52" s="33"/>
      <c r="HT52" s="33"/>
      <c r="HU52" s="33"/>
      <c r="HV52" s="33"/>
      <c r="HW52" s="33"/>
      <c r="HX52" s="33"/>
      <c r="HY52" s="33"/>
      <c r="HZ52" s="33"/>
      <c r="IA52" s="33"/>
      <c r="IB52" s="33"/>
      <c r="IC52" s="33"/>
      <c r="ID52" s="33"/>
      <c r="IE52" s="33"/>
      <c r="IF52" s="33"/>
      <c r="IG52" s="33"/>
      <c r="IH52" s="33"/>
      <c r="II52" s="33"/>
      <c r="IJ52" s="33"/>
      <c r="IK52" s="33"/>
      <c r="IL52" s="33"/>
    </row>
    <row r="53" spans="1:246" ht="15" customHeight="1">
      <c r="A53" s="140" t="s">
        <v>153</v>
      </c>
      <c r="B53" s="140"/>
      <c r="C53" s="140"/>
      <c r="D53" s="140"/>
      <c r="E53" s="140"/>
      <c r="F53" s="140"/>
      <c r="G53" s="140"/>
      <c r="H53" s="140"/>
      <c r="I53" s="140"/>
      <c r="J53" s="33"/>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140"/>
      <c r="CC53" s="140"/>
      <c r="CD53" s="140"/>
      <c r="CE53" s="140"/>
      <c r="CF53" s="140"/>
      <c r="CG53" s="140"/>
      <c r="CH53" s="140"/>
      <c r="CI53" s="140"/>
      <c r="CJ53" s="140"/>
      <c r="CK53" s="140"/>
      <c r="CL53" s="140"/>
      <c r="CM53" s="140"/>
      <c r="CN53" s="140"/>
      <c r="CO53" s="140"/>
      <c r="CP53" s="140"/>
      <c r="CQ53" s="140"/>
      <c r="CR53" s="140"/>
      <c r="CS53" s="140"/>
      <c r="CT53" s="140"/>
      <c r="CU53" s="140"/>
      <c r="CV53" s="140"/>
      <c r="CW53" s="140"/>
      <c r="CX53" s="140"/>
      <c r="CY53" s="140"/>
      <c r="CZ53" s="140"/>
      <c r="DA53" s="140"/>
      <c r="DB53" s="140"/>
      <c r="DC53" s="140"/>
      <c r="DD53" s="140"/>
      <c r="DE53" s="140"/>
      <c r="DF53" s="140"/>
      <c r="DG53" s="140"/>
      <c r="DH53" s="140"/>
      <c r="DI53" s="140"/>
      <c r="DJ53" s="140"/>
      <c r="DK53" s="140"/>
      <c r="DL53" s="140"/>
      <c r="DM53" s="140"/>
      <c r="DN53" s="140"/>
      <c r="DO53" s="140"/>
      <c r="DP53" s="140"/>
      <c r="DQ53" s="140"/>
      <c r="DR53" s="140"/>
      <c r="DS53" s="140"/>
      <c r="DT53" s="140"/>
      <c r="DU53" s="140"/>
      <c r="DV53" s="140"/>
      <c r="DW53" s="140"/>
      <c r="DX53" s="140"/>
      <c r="DY53" s="140"/>
      <c r="DZ53" s="140"/>
      <c r="EA53" s="140"/>
      <c r="EB53" s="140"/>
      <c r="EC53" s="140"/>
      <c r="ED53" s="140"/>
      <c r="EE53" s="140"/>
      <c r="EF53" s="140"/>
      <c r="EG53" s="140"/>
      <c r="EH53" s="140"/>
      <c r="EI53" s="140"/>
      <c r="EJ53" s="140"/>
      <c r="EK53" s="140"/>
      <c r="EL53" s="140"/>
      <c r="EM53" s="140"/>
      <c r="EN53" s="140"/>
      <c r="EO53" s="140"/>
      <c r="EP53" s="140"/>
      <c r="EQ53" s="140"/>
      <c r="ER53" s="140"/>
      <c r="ES53" s="140"/>
      <c r="ET53" s="140"/>
      <c r="EU53" s="140"/>
      <c r="EV53" s="140"/>
      <c r="EW53" s="140"/>
      <c r="EX53" s="140"/>
      <c r="EY53" s="140"/>
      <c r="EZ53" s="140"/>
      <c r="FA53" s="140"/>
      <c r="FB53" s="140"/>
      <c r="FC53" s="140"/>
      <c r="FD53" s="140"/>
      <c r="FE53" s="140"/>
      <c r="FF53" s="140"/>
      <c r="FG53" s="140"/>
      <c r="FH53" s="140"/>
      <c r="FI53" s="140"/>
      <c r="FJ53" s="140"/>
      <c r="FK53" s="140"/>
      <c r="FL53" s="140"/>
      <c r="FM53" s="140"/>
      <c r="FN53" s="140"/>
      <c r="FO53" s="140"/>
      <c r="FP53" s="140"/>
      <c r="FQ53" s="140"/>
      <c r="FR53" s="140"/>
      <c r="FS53" s="140"/>
      <c r="FT53" s="140"/>
      <c r="FU53" s="140"/>
      <c r="FV53" s="140"/>
      <c r="FW53" s="140"/>
      <c r="FX53" s="140"/>
      <c r="FY53" s="140"/>
      <c r="FZ53" s="140"/>
      <c r="GA53" s="140"/>
      <c r="GB53" s="140"/>
      <c r="GC53" s="140"/>
      <c r="GD53" s="140"/>
      <c r="GE53" s="140"/>
      <c r="GF53" s="140"/>
      <c r="GG53" s="140"/>
      <c r="GH53" s="140"/>
      <c r="GI53" s="140"/>
      <c r="GJ53" s="140"/>
      <c r="GK53" s="140"/>
      <c r="GL53" s="140"/>
      <c r="GM53" s="140"/>
      <c r="GN53" s="140"/>
      <c r="GO53" s="140"/>
      <c r="GP53" s="140"/>
      <c r="GQ53" s="140"/>
      <c r="GR53" s="140"/>
      <c r="GS53" s="140"/>
      <c r="GT53" s="140"/>
      <c r="GU53" s="140"/>
      <c r="GV53" s="140"/>
      <c r="GW53" s="140"/>
      <c r="GX53" s="140"/>
      <c r="GY53" s="140"/>
      <c r="GZ53" s="140"/>
      <c r="HA53" s="140"/>
      <c r="HB53" s="140"/>
      <c r="HC53" s="140"/>
      <c r="HD53" s="140"/>
      <c r="HE53" s="140"/>
      <c r="HF53" s="140"/>
      <c r="HG53" s="140"/>
      <c r="HH53" s="140"/>
      <c r="HI53" s="140"/>
      <c r="HJ53" s="140"/>
      <c r="HK53" s="140"/>
      <c r="HL53" s="140"/>
      <c r="HM53" s="140"/>
      <c r="HN53" s="140"/>
      <c r="HO53" s="140"/>
      <c r="HP53" s="140"/>
      <c r="HQ53" s="140"/>
      <c r="HR53" s="140"/>
      <c r="HS53" s="140"/>
      <c r="HT53" s="140"/>
      <c r="HU53" s="140"/>
      <c r="HV53" s="140"/>
      <c r="HW53" s="140"/>
      <c r="HX53" s="140"/>
      <c r="HY53" s="140"/>
      <c r="HZ53" s="140"/>
      <c r="IA53" s="140"/>
      <c r="IB53" s="140"/>
      <c r="IC53" s="140"/>
      <c r="ID53" s="140"/>
      <c r="IE53" s="140"/>
      <c r="IF53" s="140"/>
      <c r="IG53" s="140"/>
      <c r="IH53" s="140"/>
      <c r="II53" s="140"/>
      <c r="IJ53" s="140"/>
      <c r="IK53" s="140"/>
      <c r="IL53" s="140"/>
    </row>
    <row r="54" spans="1:246" ht="15" customHeight="1">
      <c r="A54" s="140" t="s">
        <v>37</v>
      </c>
      <c r="B54" s="140"/>
      <c r="C54" s="140"/>
      <c r="D54" s="140"/>
      <c r="E54" s="140"/>
      <c r="F54" s="140"/>
      <c r="G54" s="140"/>
      <c r="H54" s="140"/>
      <c r="I54" s="140"/>
      <c r="J54" s="33"/>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c r="BR54" s="140"/>
      <c r="BS54" s="140"/>
      <c r="BT54" s="140"/>
      <c r="BU54" s="140"/>
      <c r="BV54" s="140"/>
      <c r="BW54" s="140"/>
      <c r="BX54" s="140"/>
      <c r="BY54" s="140"/>
      <c r="BZ54" s="140"/>
      <c r="CA54" s="140"/>
      <c r="CB54" s="140"/>
      <c r="CC54" s="140"/>
      <c r="CD54" s="140"/>
      <c r="CE54" s="140"/>
      <c r="CF54" s="140"/>
      <c r="CG54" s="140"/>
      <c r="CH54" s="140"/>
      <c r="CI54" s="140"/>
      <c r="CJ54" s="140"/>
      <c r="CK54" s="140"/>
      <c r="CL54" s="140"/>
      <c r="CM54" s="140"/>
      <c r="CN54" s="140"/>
      <c r="CO54" s="140"/>
      <c r="CP54" s="140"/>
      <c r="CQ54" s="140"/>
      <c r="CR54" s="140"/>
      <c r="CS54" s="140"/>
      <c r="CT54" s="140"/>
      <c r="CU54" s="140"/>
      <c r="CV54" s="140"/>
      <c r="CW54" s="140"/>
      <c r="CX54" s="140"/>
      <c r="CY54" s="140"/>
      <c r="CZ54" s="140"/>
      <c r="DA54" s="140"/>
      <c r="DB54" s="140"/>
      <c r="DC54" s="140"/>
      <c r="DD54" s="140"/>
      <c r="DE54" s="140"/>
      <c r="DF54" s="140"/>
      <c r="DG54" s="140"/>
      <c r="DH54" s="140"/>
      <c r="DI54" s="140"/>
      <c r="DJ54" s="140"/>
      <c r="DK54" s="140"/>
      <c r="DL54" s="140"/>
      <c r="DM54" s="140"/>
      <c r="DN54" s="140"/>
      <c r="DO54" s="140"/>
      <c r="DP54" s="140"/>
      <c r="DQ54" s="140"/>
      <c r="DR54" s="140"/>
      <c r="DS54" s="140"/>
      <c r="DT54" s="140"/>
      <c r="DU54" s="140"/>
      <c r="DV54" s="140"/>
      <c r="DW54" s="140"/>
      <c r="DX54" s="140"/>
      <c r="DY54" s="140"/>
      <c r="DZ54" s="140"/>
      <c r="EA54" s="140"/>
      <c r="EB54" s="140"/>
      <c r="EC54" s="140"/>
      <c r="ED54" s="140"/>
      <c r="EE54" s="140"/>
      <c r="EF54" s="140"/>
      <c r="EG54" s="140"/>
      <c r="EH54" s="140"/>
      <c r="EI54" s="140"/>
      <c r="EJ54" s="140"/>
      <c r="EK54" s="140"/>
      <c r="EL54" s="140"/>
      <c r="EM54" s="140"/>
      <c r="EN54" s="140"/>
      <c r="EO54" s="140"/>
      <c r="EP54" s="140"/>
      <c r="EQ54" s="140"/>
      <c r="ER54" s="140"/>
      <c r="ES54" s="140"/>
      <c r="ET54" s="140"/>
      <c r="EU54" s="140"/>
      <c r="EV54" s="140"/>
      <c r="EW54" s="140"/>
      <c r="EX54" s="140"/>
      <c r="EY54" s="140"/>
      <c r="EZ54" s="140"/>
      <c r="FA54" s="140"/>
      <c r="FB54" s="140"/>
      <c r="FC54" s="140"/>
      <c r="FD54" s="140"/>
      <c r="FE54" s="140"/>
      <c r="FF54" s="140"/>
      <c r="FG54" s="140"/>
      <c r="FH54" s="140"/>
      <c r="FI54" s="140"/>
      <c r="FJ54" s="140"/>
      <c r="FK54" s="140"/>
      <c r="FL54" s="140"/>
      <c r="FM54" s="140"/>
      <c r="FN54" s="140"/>
      <c r="FO54" s="140"/>
      <c r="FP54" s="140"/>
      <c r="FQ54" s="140"/>
      <c r="FR54" s="140"/>
      <c r="FS54" s="140"/>
      <c r="FT54" s="140"/>
      <c r="FU54" s="140"/>
      <c r="FV54" s="140"/>
      <c r="FW54" s="140"/>
      <c r="FX54" s="140"/>
      <c r="FY54" s="140"/>
      <c r="FZ54" s="140"/>
      <c r="GA54" s="140"/>
      <c r="GB54" s="140"/>
      <c r="GC54" s="140"/>
      <c r="GD54" s="140"/>
      <c r="GE54" s="140"/>
      <c r="GF54" s="140"/>
      <c r="GG54" s="140"/>
      <c r="GH54" s="140"/>
      <c r="GI54" s="140"/>
      <c r="GJ54" s="140"/>
      <c r="GK54" s="140"/>
      <c r="GL54" s="140"/>
      <c r="GM54" s="140"/>
      <c r="GN54" s="140"/>
      <c r="GO54" s="140"/>
      <c r="GP54" s="140"/>
      <c r="GQ54" s="140"/>
      <c r="GR54" s="140"/>
      <c r="GS54" s="140"/>
      <c r="GT54" s="140"/>
      <c r="GU54" s="140"/>
      <c r="GV54" s="140"/>
      <c r="GW54" s="140"/>
      <c r="GX54" s="140"/>
      <c r="GY54" s="140"/>
      <c r="GZ54" s="140"/>
      <c r="HA54" s="140"/>
      <c r="HB54" s="140"/>
      <c r="HC54" s="140"/>
      <c r="HD54" s="140"/>
      <c r="HE54" s="140"/>
      <c r="HF54" s="140"/>
      <c r="HG54" s="140"/>
      <c r="HH54" s="140"/>
      <c r="HI54" s="140"/>
      <c r="HJ54" s="140"/>
      <c r="HK54" s="140"/>
      <c r="HL54" s="140"/>
      <c r="HM54" s="140"/>
      <c r="HN54" s="140"/>
      <c r="HO54" s="140"/>
      <c r="HP54" s="140"/>
      <c r="HQ54" s="140"/>
      <c r="HR54" s="140"/>
      <c r="HS54" s="140"/>
      <c r="HT54" s="140"/>
      <c r="HU54" s="140"/>
      <c r="HV54" s="140"/>
      <c r="HW54" s="140"/>
      <c r="HX54" s="140"/>
      <c r="HY54" s="140"/>
      <c r="HZ54" s="140"/>
      <c r="IA54" s="140"/>
      <c r="IB54" s="140"/>
      <c r="IC54" s="140"/>
      <c r="ID54" s="140"/>
      <c r="IE54" s="140"/>
      <c r="IF54" s="140"/>
      <c r="IG54" s="140"/>
      <c r="IH54" s="140"/>
      <c r="II54" s="140"/>
      <c r="IJ54" s="140"/>
      <c r="IK54" s="140"/>
      <c r="IL54" s="140"/>
    </row>
    <row r="55" spans="1:10" ht="18.75" customHeight="1">
      <c r="A55" s="157" t="s">
        <v>38</v>
      </c>
      <c r="B55" s="153"/>
      <c r="C55" s="78"/>
      <c r="D55" s="43" t="s">
        <v>8</v>
      </c>
      <c r="E55" s="153" t="s">
        <v>168</v>
      </c>
      <c r="F55" s="153"/>
      <c r="G55" s="153"/>
      <c r="H55" s="78"/>
      <c r="I55" s="44" t="b">
        <f>345=83</f>
        <v>0</v>
      </c>
      <c r="J55" s="33"/>
    </row>
    <row r="56" spans="1:9" ht="16.5" customHeight="1">
      <c r="A56" s="158" t="s">
        <v>3</v>
      </c>
      <c r="B56" s="154"/>
      <c r="C56" s="80"/>
      <c r="D56" s="80"/>
      <c r="E56" s="154" t="s">
        <v>138</v>
      </c>
      <c r="F56" s="154"/>
      <c r="G56" s="162" t="s">
        <v>39</v>
      </c>
      <c r="H56" s="162"/>
      <c r="I56" s="182"/>
    </row>
    <row r="57" spans="1:9" ht="12.75">
      <c r="A57" s="170" t="s">
        <v>38</v>
      </c>
      <c r="B57" s="155"/>
      <c r="C57" s="85"/>
      <c r="D57" s="53" t="s">
        <v>8</v>
      </c>
      <c r="E57" s="117">
        <f>(1.1^15-1)/(0.1*1.1^15)</f>
        <v>7.606079506308366</v>
      </c>
      <c r="F57" s="85"/>
      <c r="G57" s="85"/>
      <c r="H57" s="85"/>
      <c r="I57" s="54"/>
    </row>
    <row r="58" spans="1:246" ht="15" customHeight="1">
      <c r="A58" s="140" t="s">
        <v>139</v>
      </c>
      <c r="B58" s="140"/>
      <c r="C58" s="140"/>
      <c r="D58" s="140"/>
      <c r="E58" s="140"/>
      <c r="F58" s="140"/>
      <c r="G58" s="140"/>
      <c r="H58" s="140"/>
      <c r="I58" s="140"/>
      <c r="J58" s="33"/>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0"/>
      <c r="BR58" s="140"/>
      <c r="BS58" s="140"/>
      <c r="BT58" s="140"/>
      <c r="BU58" s="140"/>
      <c r="BV58" s="140"/>
      <c r="BW58" s="140"/>
      <c r="BX58" s="140"/>
      <c r="BY58" s="140"/>
      <c r="BZ58" s="140"/>
      <c r="CA58" s="140"/>
      <c r="CB58" s="140"/>
      <c r="CC58" s="140"/>
      <c r="CD58" s="140"/>
      <c r="CE58" s="140"/>
      <c r="CF58" s="140"/>
      <c r="CG58" s="140"/>
      <c r="CH58" s="140"/>
      <c r="CI58" s="140"/>
      <c r="CJ58" s="140"/>
      <c r="CK58" s="140"/>
      <c r="CL58" s="140"/>
      <c r="CM58" s="140"/>
      <c r="CN58" s="140"/>
      <c r="CO58" s="140"/>
      <c r="CP58" s="140"/>
      <c r="CQ58" s="140"/>
      <c r="CR58" s="140"/>
      <c r="CS58" s="140"/>
      <c r="CT58" s="140"/>
      <c r="CU58" s="140"/>
      <c r="CV58" s="140"/>
      <c r="CW58" s="140"/>
      <c r="CX58" s="140"/>
      <c r="CY58" s="140"/>
      <c r="CZ58" s="140"/>
      <c r="DA58" s="140"/>
      <c r="DB58" s="140"/>
      <c r="DC58" s="140"/>
      <c r="DD58" s="140"/>
      <c r="DE58" s="140"/>
      <c r="DF58" s="140"/>
      <c r="DG58" s="140"/>
      <c r="DH58" s="140"/>
      <c r="DI58" s="140"/>
      <c r="DJ58" s="140"/>
      <c r="DK58" s="140"/>
      <c r="DL58" s="140"/>
      <c r="DM58" s="140"/>
      <c r="DN58" s="140"/>
      <c r="DO58" s="140"/>
      <c r="DP58" s="140"/>
      <c r="DQ58" s="140"/>
      <c r="DR58" s="140"/>
      <c r="DS58" s="140"/>
      <c r="DT58" s="140"/>
      <c r="DU58" s="140"/>
      <c r="DV58" s="140"/>
      <c r="DW58" s="140"/>
      <c r="DX58" s="140"/>
      <c r="DY58" s="140"/>
      <c r="DZ58" s="140"/>
      <c r="EA58" s="140"/>
      <c r="EB58" s="140"/>
      <c r="EC58" s="140"/>
      <c r="ED58" s="140"/>
      <c r="EE58" s="140"/>
      <c r="EF58" s="140"/>
      <c r="EG58" s="140"/>
      <c r="EH58" s="140"/>
      <c r="EI58" s="140"/>
      <c r="EJ58" s="140"/>
      <c r="EK58" s="140"/>
      <c r="EL58" s="140"/>
      <c r="EM58" s="140"/>
      <c r="EN58" s="140"/>
      <c r="EO58" s="140"/>
      <c r="EP58" s="140"/>
      <c r="EQ58" s="140"/>
      <c r="ER58" s="140"/>
      <c r="ES58" s="140"/>
      <c r="ET58" s="140"/>
      <c r="EU58" s="140"/>
      <c r="EV58" s="140"/>
      <c r="EW58" s="140"/>
      <c r="EX58" s="140"/>
      <c r="EY58" s="140"/>
      <c r="EZ58" s="140"/>
      <c r="FA58" s="140"/>
      <c r="FB58" s="140"/>
      <c r="FC58" s="140"/>
      <c r="FD58" s="140"/>
      <c r="FE58" s="140"/>
      <c r="FF58" s="140"/>
      <c r="FG58" s="140"/>
      <c r="FH58" s="140"/>
      <c r="FI58" s="140"/>
      <c r="FJ58" s="140"/>
      <c r="FK58" s="140"/>
      <c r="FL58" s="140"/>
      <c r="FM58" s="140"/>
      <c r="FN58" s="140"/>
      <c r="FO58" s="140"/>
      <c r="FP58" s="140"/>
      <c r="FQ58" s="140"/>
      <c r="FR58" s="140"/>
      <c r="FS58" s="140"/>
      <c r="FT58" s="140"/>
      <c r="FU58" s="140"/>
      <c r="FV58" s="140"/>
      <c r="FW58" s="140"/>
      <c r="FX58" s="140"/>
      <c r="FY58" s="140"/>
      <c r="FZ58" s="140"/>
      <c r="GA58" s="140"/>
      <c r="GB58" s="140"/>
      <c r="GC58" s="140"/>
      <c r="GD58" s="140"/>
      <c r="GE58" s="140"/>
      <c r="GF58" s="140"/>
      <c r="GG58" s="140"/>
      <c r="GH58" s="140"/>
      <c r="GI58" s="140"/>
      <c r="GJ58" s="140"/>
      <c r="GK58" s="140"/>
      <c r="GL58" s="140"/>
      <c r="GM58" s="140"/>
      <c r="GN58" s="140"/>
      <c r="GO58" s="140"/>
      <c r="GP58" s="140"/>
      <c r="GQ58" s="140"/>
      <c r="GR58" s="140"/>
      <c r="GS58" s="140"/>
      <c r="GT58" s="140"/>
      <c r="GU58" s="140"/>
      <c r="GV58" s="140"/>
      <c r="GW58" s="140"/>
      <c r="GX58" s="140"/>
      <c r="GY58" s="140"/>
      <c r="GZ58" s="140"/>
      <c r="HA58" s="140"/>
      <c r="HB58" s="140"/>
      <c r="HC58" s="140"/>
      <c r="HD58" s="140"/>
      <c r="HE58" s="140"/>
      <c r="HF58" s="140"/>
      <c r="HG58" s="140"/>
      <c r="HH58" s="140"/>
      <c r="HI58" s="140"/>
      <c r="HJ58" s="140"/>
      <c r="HK58" s="140"/>
      <c r="HL58" s="140"/>
      <c r="HM58" s="140"/>
      <c r="HN58" s="140"/>
      <c r="HO58" s="140"/>
      <c r="HP58" s="140"/>
      <c r="HQ58" s="140"/>
      <c r="HR58" s="140"/>
      <c r="HS58" s="140"/>
      <c r="HT58" s="140"/>
      <c r="HU58" s="140"/>
      <c r="HV58" s="140"/>
      <c r="HW58" s="140"/>
      <c r="HX58" s="140"/>
      <c r="HY58" s="140"/>
      <c r="HZ58" s="140"/>
      <c r="IA58" s="140"/>
      <c r="IB58" s="140"/>
      <c r="IC58" s="140"/>
      <c r="ID58" s="140"/>
      <c r="IE58" s="140"/>
      <c r="IF58" s="140"/>
      <c r="IG58" s="140"/>
      <c r="IH58" s="140"/>
      <c r="II58" s="140"/>
      <c r="IJ58" s="140"/>
      <c r="IK58" s="140"/>
      <c r="IL58" s="140"/>
    </row>
    <row r="59" spans="1:9" ht="13.5" customHeight="1">
      <c r="A59" s="157" t="s">
        <v>40</v>
      </c>
      <c r="B59" s="153"/>
      <c r="C59" s="153"/>
      <c r="D59" s="43"/>
      <c r="E59" s="78"/>
      <c r="F59" s="78"/>
      <c r="G59" s="78"/>
      <c r="H59" s="78"/>
      <c r="I59" s="44"/>
    </row>
    <row r="60" spans="1:9" ht="12.75">
      <c r="A60" s="81"/>
      <c r="B60" s="49"/>
      <c r="C60" s="49"/>
      <c r="D60" s="80"/>
      <c r="E60" s="80"/>
      <c r="F60" s="80"/>
      <c r="G60" s="80"/>
      <c r="H60" s="80"/>
      <c r="I60" s="50"/>
    </row>
    <row r="61" spans="1:9" ht="12.75">
      <c r="A61" s="158" t="s">
        <v>41</v>
      </c>
      <c r="B61" s="154"/>
      <c r="C61" s="154"/>
      <c r="D61" s="48" t="s">
        <v>8</v>
      </c>
      <c r="E61" s="154" t="s">
        <v>155</v>
      </c>
      <c r="F61" s="154"/>
      <c r="G61" s="154"/>
      <c r="H61" s="80"/>
      <c r="I61" s="50"/>
    </row>
    <row r="62" spans="1:9" ht="12.75">
      <c r="A62" s="81"/>
      <c r="B62" s="49"/>
      <c r="C62" s="49"/>
      <c r="D62" s="48" t="s">
        <v>8</v>
      </c>
      <c r="E62" s="118">
        <f>(1)*E39/E30/100</f>
        <v>4.181818181818182</v>
      </c>
      <c r="F62" s="49" t="s">
        <v>29</v>
      </c>
      <c r="G62" s="80"/>
      <c r="H62" s="80"/>
      <c r="I62" s="50"/>
    </row>
    <row r="63" spans="1:9" ht="12.75">
      <c r="A63" s="81"/>
      <c r="B63" s="49"/>
      <c r="C63" s="49"/>
      <c r="D63" s="80"/>
      <c r="E63" s="118"/>
      <c r="F63" s="49"/>
      <c r="G63" s="80"/>
      <c r="H63" s="80"/>
      <c r="I63" s="50"/>
    </row>
    <row r="64" spans="1:9" ht="18.75" customHeight="1">
      <c r="A64" s="158" t="s">
        <v>31</v>
      </c>
      <c r="B64" s="154"/>
      <c r="C64" s="154"/>
      <c r="D64" s="162" t="s">
        <v>8</v>
      </c>
      <c r="E64" s="154" t="s">
        <v>156</v>
      </c>
      <c r="F64" s="154"/>
      <c r="G64" s="49"/>
      <c r="H64" s="49"/>
      <c r="I64" s="83"/>
    </row>
    <row r="65" spans="1:9" ht="11.25" customHeight="1">
      <c r="A65" s="158"/>
      <c r="B65" s="154"/>
      <c r="C65" s="154"/>
      <c r="D65" s="162"/>
      <c r="E65" s="154"/>
      <c r="F65" s="154"/>
      <c r="G65" s="49"/>
      <c r="H65" s="49"/>
      <c r="I65" s="83"/>
    </row>
    <row r="66" spans="1:9" ht="12.75">
      <c r="A66" s="81"/>
      <c r="B66" s="49"/>
      <c r="C66" s="49"/>
      <c r="D66" s="48" t="s">
        <v>8</v>
      </c>
      <c r="E66" s="119">
        <f>E62*(13.33*365.25)*4.75</f>
        <v>96711.72511363636</v>
      </c>
      <c r="F66" s="80" t="s">
        <v>42</v>
      </c>
      <c r="G66" s="80"/>
      <c r="H66" s="80"/>
      <c r="I66" s="50"/>
    </row>
    <row r="67" spans="1:9" ht="12.75">
      <c r="A67" s="81"/>
      <c r="B67" s="49"/>
      <c r="C67" s="49"/>
      <c r="D67" s="48"/>
      <c r="E67" s="119"/>
      <c r="F67" s="80"/>
      <c r="G67" s="80"/>
      <c r="H67" s="80"/>
      <c r="I67" s="50"/>
    </row>
    <row r="68" spans="1:9" ht="25.5" customHeight="1">
      <c r="A68" s="158" t="s">
        <v>43</v>
      </c>
      <c r="B68" s="154"/>
      <c r="C68" s="154"/>
      <c r="D68" s="48" t="s">
        <v>8</v>
      </c>
      <c r="E68" s="154" t="s">
        <v>157</v>
      </c>
      <c r="F68" s="154"/>
      <c r="G68" s="48"/>
      <c r="H68" s="48"/>
      <c r="I68" s="50"/>
    </row>
    <row r="69" spans="1:9" ht="26.25" customHeight="1">
      <c r="A69" s="51"/>
      <c r="B69" s="85"/>
      <c r="C69" s="85"/>
      <c r="D69" s="53" t="s">
        <v>8</v>
      </c>
      <c r="E69" s="38">
        <f>E66*E57</f>
        <v>735597.0704065576</v>
      </c>
      <c r="F69" s="85" t="s">
        <v>42</v>
      </c>
      <c r="G69" s="155" t="s">
        <v>44</v>
      </c>
      <c r="H69" s="155"/>
      <c r="I69" s="167"/>
    </row>
    <row r="70" spans="5:9" ht="12.75">
      <c r="E70" s="120"/>
      <c r="G70" s="31"/>
      <c r="H70" s="31"/>
      <c r="I70" s="31"/>
    </row>
  </sheetData>
  <sheetProtection/>
  <mergeCells count="153">
    <mergeCell ref="A52:I52"/>
    <mergeCell ref="A51:I51"/>
    <mergeCell ref="A68:C68"/>
    <mergeCell ref="E68:F68"/>
    <mergeCell ref="A58:I58"/>
    <mergeCell ref="A53:I53"/>
    <mergeCell ref="G69:I69"/>
    <mergeCell ref="A61:C61"/>
    <mergeCell ref="E61:G61"/>
    <mergeCell ref="A64:C65"/>
    <mergeCell ref="D64:D65"/>
    <mergeCell ref="E64:F65"/>
    <mergeCell ref="HM58:HV58"/>
    <mergeCell ref="HW58:IF58"/>
    <mergeCell ref="IG58:IL58"/>
    <mergeCell ref="A59:C59"/>
    <mergeCell ref="FY58:GH58"/>
    <mergeCell ref="GI58:GR58"/>
    <mergeCell ref="GS58:HB58"/>
    <mergeCell ref="HC58:HL58"/>
    <mergeCell ref="EK58:ET58"/>
    <mergeCell ref="EU58:FD58"/>
    <mergeCell ref="FO58:FX58"/>
    <mergeCell ref="CW58:DF58"/>
    <mergeCell ref="DG58:DP58"/>
    <mergeCell ref="DQ58:DZ58"/>
    <mergeCell ref="EA58:EJ58"/>
    <mergeCell ref="BI58:BR58"/>
    <mergeCell ref="CM58:CV58"/>
    <mergeCell ref="FE58:FN58"/>
    <mergeCell ref="BS58:CB58"/>
    <mergeCell ref="CC58:CL58"/>
    <mergeCell ref="U58:AD58"/>
    <mergeCell ref="AE58:AN58"/>
    <mergeCell ref="AO58:AX58"/>
    <mergeCell ref="AY58:BH58"/>
    <mergeCell ref="K58:T58"/>
    <mergeCell ref="A56:B56"/>
    <mergeCell ref="E56:F56"/>
    <mergeCell ref="G56:I56"/>
    <mergeCell ref="A57:B57"/>
    <mergeCell ref="HW54:IF54"/>
    <mergeCell ref="IG54:IL54"/>
    <mergeCell ref="A55:B55"/>
    <mergeCell ref="E55:G55"/>
    <mergeCell ref="GI54:GR54"/>
    <mergeCell ref="GS54:HB54"/>
    <mergeCell ref="HC54:HL54"/>
    <mergeCell ref="HM54:HV54"/>
    <mergeCell ref="EU54:FD54"/>
    <mergeCell ref="FE54:FN54"/>
    <mergeCell ref="BS54:CB54"/>
    <mergeCell ref="CC54:CL54"/>
    <mergeCell ref="CM54:CV54"/>
    <mergeCell ref="CW54:DF54"/>
    <mergeCell ref="FO54:FX54"/>
    <mergeCell ref="FY54:GH54"/>
    <mergeCell ref="DG54:DP54"/>
    <mergeCell ref="DQ54:DZ54"/>
    <mergeCell ref="EA54:EJ54"/>
    <mergeCell ref="EK54:ET54"/>
    <mergeCell ref="HW53:IF53"/>
    <mergeCell ref="IG53:IL53"/>
    <mergeCell ref="A54:I54"/>
    <mergeCell ref="K54:T54"/>
    <mergeCell ref="U54:AD54"/>
    <mergeCell ref="AE54:AN54"/>
    <mergeCell ref="AO54:AX54"/>
    <mergeCell ref="AY54:BH54"/>
    <mergeCell ref="BI54:BR54"/>
    <mergeCell ref="GI53:GR53"/>
    <mergeCell ref="HM53:HV53"/>
    <mergeCell ref="EU53:FD53"/>
    <mergeCell ref="FE53:FN53"/>
    <mergeCell ref="FO53:FX53"/>
    <mergeCell ref="FY53:GH53"/>
    <mergeCell ref="DQ53:DZ53"/>
    <mergeCell ref="GS53:HB53"/>
    <mergeCell ref="HC53:HL53"/>
    <mergeCell ref="EA53:EJ53"/>
    <mergeCell ref="EK53:ET53"/>
    <mergeCell ref="BS53:CB53"/>
    <mergeCell ref="CC53:CL53"/>
    <mergeCell ref="CM53:CV53"/>
    <mergeCell ref="CW53:DF53"/>
    <mergeCell ref="AE53:AN53"/>
    <mergeCell ref="AO53:AX53"/>
    <mergeCell ref="AY53:BH53"/>
    <mergeCell ref="BI53:BR53"/>
    <mergeCell ref="DG53:DP53"/>
    <mergeCell ref="K53:T53"/>
    <mergeCell ref="U53:AD53"/>
    <mergeCell ref="HC50:HL50"/>
    <mergeCell ref="EA50:EJ50"/>
    <mergeCell ref="EK50:ET50"/>
    <mergeCell ref="EU50:FD50"/>
    <mergeCell ref="FE50:FN50"/>
    <mergeCell ref="CM50:CV50"/>
    <mergeCell ref="CW50:DF50"/>
    <mergeCell ref="HM50:HV50"/>
    <mergeCell ref="HW50:IF50"/>
    <mergeCell ref="IG50:IL50"/>
    <mergeCell ref="FO50:FX50"/>
    <mergeCell ref="FY50:GH50"/>
    <mergeCell ref="GI50:GR50"/>
    <mergeCell ref="GS50:HB50"/>
    <mergeCell ref="AE50:AN50"/>
    <mergeCell ref="AO50:AX50"/>
    <mergeCell ref="DQ50:DZ50"/>
    <mergeCell ref="AY50:BH50"/>
    <mergeCell ref="BI50:BR50"/>
    <mergeCell ref="BS50:CB50"/>
    <mergeCell ref="CC50:CL50"/>
    <mergeCell ref="DG50:DP50"/>
    <mergeCell ref="E45:I45"/>
    <mergeCell ref="E34:G34"/>
    <mergeCell ref="K50:T50"/>
    <mergeCell ref="U50:AD50"/>
    <mergeCell ref="E37:G37"/>
    <mergeCell ref="A49:I49"/>
    <mergeCell ref="A50:I50"/>
    <mergeCell ref="A45:C45"/>
    <mergeCell ref="A47:C47"/>
    <mergeCell ref="A25:G25"/>
    <mergeCell ref="A26:B26"/>
    <mergeCell ref="E47:I47"/>
    <mergeCell ref="A41:G41"/>
    <mergeCell ref="A43:C44"/>
    <mergeCell ref="D43:D44"/>
    <mergeCell ref="E43:I44"/>
    <mergeCell ref="F26:I26"/>
    <mergeCell ref="A27:B27"/>
    <mergeCell ref="E33:F33"/>
    <mergeCell ref="E8:G8"/>
    <mergeCell ref="A24:I24"/>
    <mergeCell ref="E36:G36"/>
    <mergeCell ref="A17:I17"/>
    <mergeCell ref="A19:E19"/>
    <mergeCell ref="A20:I20"/>
    <mergeCell ref="A32:C32"/>
    <mergeCell ref="E35:G35"/>
    <mergeCell ref="A21:I21"/>
    <mergeCell ref="A28:B28"/>
    <mergeCell ref="A15:B15"/>
    <mergeCell ref="A23:I23"/>
    <mergeCell ref="A1:I1"/>
    <mergeCell ref="A3:D3"/>
    <mergeCell ref="A5:B5"/>
    <mergeCell ref="E5:F5"/>
    <mergeCell ref="A7:B7"/>
    <mergeCell ref="E7:G7"/>
    <mergeCell ref="E9:G9"/>
    <mergeCell ref="A11:B11"/>
  </mergeCells>
  <printOptions/>
  <pageMargins left="0.75" right="0.75" top="1" bottom="1" header="0.5" footer="0.5"/>
  <pageSetup horizontalDpi="2400" verticalDpi="2400" orientation="portrait" paperSize="9" scale="95" r:id="rId1"/>
  <rowBreaks count="1" manualBreakCount="1">
    <brk id="31" max="8" man="1"/>
  </rowBreaks>
</worksheet>
</file>

<file path=xl/worksheets/sheet5.xml><?xml version="1.0" encoding="utf-8"?>
<worksheet xmlns="http://schemas.openxmlformats.org/spreadsheetml/2006/main" xmlns:r="http://schemas.openxmlformats.org/officeDocument/2006/relationships">
  <dimension ref="A1:J23"/>
  <sheetViews>
    <sheetView view="pageBreakPreview" zoomScaleSheetLayoutView="100" zoomScalePageLayoutView="0" workbookViewId="0" topLeftCell="A1">
      <selection activeCell="I15" sqref="I15"/>
    </sheetView>
  </sheetViews>
  <sheetFormatPr defaultColWidth="9.140625" defaultRowHeight="12.75"/>
  <cols>
    <col min="1" max="1" width="10.8515625" style="24" bestFit="1" customWidth="1"/>
    <col min="2" max="4" width="9.140625" style="24" customWidth="1"/>
    <col min="5" max="5" width="11.57421875" style="24" bestFit="1" customWidth="1"/>
    <col min="6" max="8" width="9.140625" style="24" customWidth="1"/>
    <col min="9" max="9" width="10.28125" style="24" customWidth="1"/>
    <col min="10" max="16384" width="9.140625" style="24" customWidth="1"/>
  </cols>
  <sheetData>
    <row r="1" spans="1:8" ht="14.25">
      <c r="A1" s="138" t="s">
        <v>181</v>
      </c>
      <c r="B1" s="138"/>
      <c r="C1" s="138"/>
      <c r="D1" s="138"/>
      <c r="E1" s="138"/>
      <c r="F1" s="138"/>
      <c r="G1" s="138"/>
      <c r="H1" s="138"/>
    </row>
    <row r="3" spans="1:6" ht="12.75">
      <c r="A3" s="177" t="s">
        <v>80</v>
      </c>
      <c r="B3" s="177"/>
      <c r="C3" s="177"/>
      <c r="D3" s="109" t="s">
        <v>8</v>
      </c>
      <c r="E3" s="26">
        <v>603.86</v>
      </c>
      <c r="F3" s="24" t="s">
        <v>78</v>
      </c>
    </row>
    <row r="4" spans="1:6" ht="12.75">
      <c r="A4" s="24" t="s">
        <v>47</v>
      </c>
      <c r="D4" s="109" t="s">
        <v>8</v>
      </c>
      <c r="E4" s="122">
        <f>'Sp Speed'!F6</f>
        <v>48</v>
      </c>
      <c r="F4" s="24" t="s">
        <v>2</v>
      </c>
    </row>
    <row r="5" spans="1:9" ht="12.75">
      <c r="A5" s="177" t="s">
        <v>20</v>
      </c>
      <c r="B5" s="177"/>
      <c r="E5" s="123">
        <v>0.94</v>
      </c>
      <c r="F5" s="183" t="s">
        <v>21</v>
      </c>
      <c r="G5" s="183"/>
      <c r="H5" s="183"/>
      <c r="I5" s="183"/>
    </row>
    <row r="6" spans="1:5" ht="12.75">
      <c r="A6" s="177" t="s">
        <v>22</v>
      </c>
      <c r="B6" s="177"/>
      <c r="D6" s="109" t="s">
        <v>8</v>
      </c>
      <c r="E6" s="124">
        <v>0.88</v>
      </c>
    </row>
    <row r="7" spans="1:10" ht="12.75">
      <c r="A7" s="177" t="s">
        <v>23</v>
      </c>
      <c r="B7" s="177"/>
      <c r="D7" s="109" t="s">
        <v>8</v>
      </c>
      <c r="E7" s="108" t="s">
        <v>137</v>
      </c>
      <c r="F7" s="108"/>
      <c r="J7" s="108"/>
    </row>
    <row r="8" spans="4:5" ht="12.75">
      <c r="D8" s="109" t="s">
        <v>8</v>
      </c>
      <c r="E8" s="125">
        <f>E5*E6</f>
        <v>0.8271999999999999</v>
      </c>
    </row>
    <row r="10" spans="1:3" ht="12.75">
      <c r="A10" s="177" t="s">
        <v>83</v>
      </c>
      <c r="B10" s="177"/>
      <c r="C10" s="177"/>
    </row>
    <row r="11" spans="1:7" ht="12.75">
      <c r="A11" s="108"/>
      <c r="B11" s="108"/>
      <c r="D11" s="109" t="s">
        <v>8</v>
      </c>
      <c r="E11" s="177" t="s">
        <v>24</v>
      </c>
      <c r="F11" s="177"/>
      <c r="G11" s="109"/>
    </row>
    <row r="12" spans="1:7" ht="12.75">
      <c r="A12" s="24" t="s">
        <v>3</v>
      </c>
      <c r="C12" s="126" t="s">
        <v>9</v>
      </c>
      <c r="D12" s="109" t="s">
        <v>8</v>
      </c>
      <c r="E12" s="177" t="s">
        <v>79</v>
      </c>
      <c r="F12" s="177"/>
      <c r="G12" s="177"/>
    </row>
    <row r="13" spans="3:7" ht="12.75">
      <c r="C13" s="126" t="s">
        <v>25</v>
      </c>
      <c r="D13" s="109" t="s">
        <v>8</v>
      </c>
      <c r="E13" s="177" t="s">
        <v>26</v>
      </c>
      <c r="F13" s="177"/>
      <c r="G13" s="177"/>
    </row>
    <row r="14" spans="3:7" ht="12.75">
      <c r="C14" s="126" t="s">
        <v>27</v>
      </c>
      <c r="D14" s="109" t="s">
        <v>8</v>
      </c>
      <c r="E14" s="177" t="s">
        <v>22</v>
      </c>
      <c r="F14" s="177"/>
      <c r="G14" s="177"/>
    </row>
    <row r="15" spans="4:6" ht="12.75">
      <c r="D15" s="109" t="s">
        <v>8</v>
      </c>
      <c r="E15" s="25">
        <f>9.81*E3*E4/E8/1000</f>
        <v>343.7446769825919</v>
      </c>
      <c r="F15" s="24" t="s">
        <v>29</v>
      </c>
    </row>
    <row r="16" spans="4:7" ht="12.75">
      <c r="D16" s="109" t="s">
        <v>8</v>
      </c>
      <c r="E16" s="24">
        <v>344</v>
      </c>
      <c r="F16" s="24" t="s">
        <v>29</v>
      </c>
      <c r="G16" s="24" t="s">
        <v>17</v>
      </c>
    </row>
    <row r="18" spans="1:9" ht="12.75">
      <c r="A18" s="177" t="s">
        <v>123</v>
      </c>
      <c r="B18" s="177"/>
      <c r="C18" s="177"/>
      <c r="D18" s="177"/>
      <c r="E18" s="177"/>
      <c r="F18" s="177"/>
      <c r="G18" s="177"/>
      <c r="H18" s="177"/>
      <c r="I18" s="177"/>
    </row>
    <row r="19" spans="1:9" ht="12.75">
      <c r="A19" s="177" t="s">
        <v>122</v>
      </c>
      <c r="B19" s="177"/>
      <c r="C19" s="177"/>
      <c r="D19" s="177"/>
      <c r="E19" s="177"/>
      <c r="F19" s="177"/>
      <c r="G19" s="177"/>
      <c r="H19" s="177"/>
      <c r="I19" s="177"/>
    </row>
    <row r="20" spans="1:9" ht="12.75">
      <c r="A20" s="177" t="s">
        <v>124</v>
      </c>
      <c r="B20" s="177"/>
      <c r="C20" s="177"/>
      <c r="D20" s="177"/>
      <c r="E20" s="177"/>
      <c r="F20" s="177"/>
      <c r="G20" s="177"/>
      <c r="H20" s="177"/>
      <c r="I20" s="177"/>
    </row>
    <row r="21" spans="1:9" ht="12.75">
      <c r="A21" s="177" t="s">
        <v>169</v>
      </c>
      <c r="B21" s="177"/>
      <c r="C21" s="177"/>
      <c r="D21" s="177"/>
      <c r="E21" s="177"/>
      <c r="F21" s="177"/>
      <c r="G21" s="177"/>
      <c r="H21" s="177"/>
      <c r="I21" s="177"/>
    </row>
    <row r="23" ht="12.75">
      <c r="A23" s="108"/>
    </row>
  </sheetData>
  <sheetProtection/>
  <mergeCells count="15">
    <mergeCell ref="E14:G14"/>
    <mergeCell ref="A18:I18"/>
    <mergeCell ref="A10:C10"/>
    <mergeCell ref="E11:F11"/>
    <mergeCell ref="A20:I20"/>
    <mergeCell ref="A21:I21"/>
    <mergeCell ref="A1:H1"/>
    <mergeCell ref="A5:B5"/>
    <mergeCell ref="F5:I5"/>
    <mergeCell ref="E12:G12"/>
    <mergeCell ref="A3:C3"/>
    <mergeCell ref="A6:B6"/>
    <mergeCell ref="A7:B7"/>
    <mergeCell ref="E13:G13"/>
    <mergeCell ref="A19:I19"/>
  </mergeCells>
  <printOptions/>
  <pageMargins left="0.75" right="0.75" top="1" bottom="1" header="0.5" footer="0.5"/>
  <pageSetup horizontalDpi="2400" verticalDpi="2400" orientation="portrait" paperSize="9" scale="95" r:id="rId1"/>
</worksheet>
</file>

<file path=xl/worksheets/sheet6.xml><?xml version="1.0" encoding="utf-8"?>
<worksheet xmlns="http://schemas.openxmlformats.org/spreadsheetml/2006/main" xmlns:r="http://schemas.openxmlformats.org/officeDocument/2006/relationships">
  <dimension ref="A1:J64"/>
  <sheetViews>
    <sheetView tabSelected="1" view="pageBreakPreview" zoomScale="118" zoomScaleSheetLayoutView="118" zoomScalePageLayoutView="0" workbookViewId="0" topLeftCell="A1">
      <selection activeCell="A62" sqref="A62:G62"/>
    </sheetView>
  </sheetViews>
  <sheetFormatPr defaultColWidth="9.140625" defaultRowHeight="12.75"/>
  <cols>
    <col min="1" max="4" width="9.140625" style="1" customWidth="1"/>
    <col min="5" max="5" width="21.00390625" style="1" customWidth="1"/>
    <col min="6" max="6" width="7.8515625" style="77" customWidth="1"/>
    <col min="7" max="7" width="11.140625" style="77" customWidth="1"/>
    <col min="8" max="8" width="9.7109375" style="1" customWidth="1"/>
    <col min="9" max="16384" width="9.140625" style="1" customWidth="1"/>
  </cols>
  <sheetData>
    <row r="1" spans="1:8" ht="14.25">
      <c r="A1" s="169" t="s">
        <v>180</v>
      </c>
      <c r="B1" s="169"/>
      <c r="C1" s="169"/>
      <c r="D1" s="169"/>
      <c r="E1" s="169"/>
      <c r="F1" s="169"/>
      <c r="G1" s="169"/>
      <c r="H1" s="169"/>
    </row>
    <row r="2" ht="12" customHeight="1"/>
    <row r="3" spans="1:8" ht="12" customHeight="1">
      <c r="A3" s="160" t="s">
        <v>134</v>
      </c>
      <c r="B3" s="160"/>
      <c r="C3" s="160"/>
      <c r="D3" s="160"/>
      <c r="E3" s="160"/>
      <c r="F3" s="160"/>
      <c r="G3" s="160"/>
      <c r="H3" s="160"/>
    </row>
    <row r="4" ht="12" customHeight="1"/>
    <row r="5" spans="1:8" ht="12" customHeight="1">
      <c r="A5" s="159" t="s">
        <v>142</v>
      </c>
      <c r="B5" s="159"/>
      <c r="C5" s="159"/>
      <c r="D5" s="159"/>
      <c r="E5" s="159"/>
      <c r="F5" s="77" t="s">
        <v>8</v>
      </c>
      <c r="G5" s="77">
        <v>2550</v>
      </c>
      <c r="H5" s="1" t="s">
        <v>88</v>
      </c>
    </row>
    <row r="6" spans="1:8" ht="7.5" customHeight="1">
      <c r="A6" s="168"/>
      <c r="B6" s="168"/>
      <c r="C6" s="168"/>
      <c r="D6" s="168"/>
      <c r="E6" s="168"/>
      <c r="F6" s="168"/>
      <c r="G6" s="168"/>
      <c r="H6" s="168"/>
    </row>
    <row r="7" spans="1:8" ht="12" customHeight="1" hidden="1">
      <c r="A7" s="159" t="s">
        <v>89</v>
      </c>
      <c r="B7" s="159"/>
      <c r="C7" s="159"/>
      <c r="D7" s="159"/>
      <c r="E7" s="159"/>
      <c r="F7" s="77" t="s">
        <v>8</v>
      </c>
      <c r="G7" s="77">
        <v>300</v>
      </c>
      <c r="H7" s="1" t="s">
        <v>88</v>
      </c>
    </row>
    <row r="8" spans="1:5" ht="12" customHeight="1" hidden="1">
      <c r="A8" s="159" t="s">
        <v>170</v>
      </c>
      <c r="B8" s="159"/>
      <c r="C8" s="159"/>
      <c r="D8" s="159"/>
      <c r="E8" s="159"/>
    </row>
    <row r="9" spans="1:8" ht="7.5" customHeight="1" hidden="1">
      <c r="A9" s="168"/>
      <c r="B9" s="168"/>
      <c r="C9" s="168"/>
      <c r="D9" s="168"/>
      <c r="E9" s="168"/>
      <c r="F9" s="168"/>
      <c r="G9" s="168"/>
      <c r="H9" s="168"/>
    </row>
    <row r="10" spans="1:8" ht="12" customHeight="1" hidden="1">
      <c r="A10" s="159" t="s">
        <v>106</v>
      </c>
      <c r="B10" s="159"/>
      <c r="C10" s="159"/>
      <c r="D10" s="159"/>
      <c r="E10" s="159"/>
      <c r="F10" s="77" t="s">
        <v>8</v>
      </c>
      <c r="G10" s="77">
        <v>50</v>
      </c>
      <c r="H10" s="1" t="s">
        <v>88</v>
      </c>
    </row>
    <row r="11" spans="1:8" ht="7.5" customHeight="1" hidden="1">
      <c r="A11" s="168"/>
      <c r="B11" s="168"/>
      <c r="C11" s="168"/>
      <c r="D11" s="168"/>
      <c r="E11" s="168"/>
      <c r="F11" s="168"/>
      <c r="G11" s="168"/>
      <c r="H11" s="168"/>
    </row>
    <row r="12" spans="1:8" ht="12" customHeight="1" hidden="1">
      <c r="A12" s="159" t="s">
        <v>107</v>
      </c>
      <c r="B12" s="159"/>
      <c r="C12" s="159"/>
      <c r="D12" s="159"/>
      <c r="E12" s="159"/>
      <c r="F12" s="77" t="s">
        <v>8</v>
      </c>
      <c r="G12" s="77">
        <v>600</v>
      </c>
      <c r="H12" s="1" t="s">
        <v>88</v>
      </c>
    </row>
    <row r="13" spans="1:5" ht="12" customHeight="1" hidden="1">
      <c r="A13" s="159" t="s">
        <v>118</v>
      </c>
      <c r="B13" s="159"/>
      <c r="C13" s="159"/>
      <c r="D13" s="159"/>
      <c r="E13" s="159"/>
    </row>
    <row r="14" spans="1:8" ht="7.5" customHeight="1" hidden="1">
      <c r="A14" s="168"/>
      <c r="B14" s="168"/>
      <c r="C14" s="168"/>
      <c r="D14" s="168"/>
      <c r="E14" s="168"/>
      <c r="F14" s="168"/>
      <c r="G14" s="168"/>
      <c r="H14" s="168"/>
    </row>
    <row r="15" spans="1:8" ht="12" customHeight="1" hidden="1">
      <c r="A15" s="159" t="s">
        <v>125</v>
      </c>
      <c r="B15" s="159"/>
      <c r="C15" s="159"/>
      <c r="D15" s="159"/>
      <c r="E15" s="159"/>
      <c r="F15" s="77" t="s">
        <v>8</v>
      </c>
      <c r="G15" s="77">
        <v>1000</v>
      </c>
      <c r="H15" s="1" t="s">
        <v>88</v>
      </c>
    </row>
    <row r="16" spans="1:8" ht="7.5" customHeight="1" hidden="1">
      <c r="A16" s="168"/>
      <c r="B16" s="168"/>
      <c r="C16" s="168"/>
      <c r="D16" s="168"/>
      <c r="E16" s="168"/>
      <c r="F16" s="168"/>
      <c r="G16" s="168"/>
      <c r="H16" s="168"/>
    </row>
    <row r="17" spans="1:8" ht="12" customHeight="1">
      <c r="A17" s="159" t="s">
        <v>158</v>
      </c>
      <c r="B17" s="159"/>
      <c r="C17" s="159"/>
      <c r="D17" s="159"/>
      <c r="E17" s="159"/>
      <c r="F17" s="77" t="s">
        <v>8</v>
      </c>
      <c r="G17" s="77">
        <v>2500</v>
      </c>
      <c r="H17" s="1" t="s">
        <v>88</v>
      </c>
    </row>
    <row r="18" spans="1:8" ht="7.5" customHeight="1">
      <c r="A18" s="168"/>
      <c r="B18" s="168"/>
      <c r="C18" s="168"/>
      <c r="D18" s="168"/>
      <c r="E18" s="168"/>
      <c r="F18" s="168"/>
      <c r="G18" s="168"/>
      <c r="H18" s="168"/>
    </row>
    <row r="19" spans="1:8" ht="12" customHeight="1" hidden="1">
      <c r="A19" s="159" t="s">
        <v>108</v>
      </c>
      <c r="B19" s="159"/>
      <c r="C19" s="159"/>
      <c r="D19" s="159"/>
      <c r="E19" s="159"/>
      <c r="F19" s="77" t="s">
        <v>8</v>
      </c>
      <c r="G19" s="121">
        <v>1000</v>
      </c>
      <c r="H19" s="1" t="s">
        <v>88</v>
      </c>
    </row>
    <row r="20" spans="1:8" ht="7.5" customHeight="1" hidden="1">
      <c r="A20" s="168"/>
      <c r="B20" s="168"/>
      <c r="C20" s="168"/>
      <c r="D20" s="168"/>
      <c r="E20" s="168"/>
      <c r="F20" s="168"/>
      <c r="G20" s="168"/>
      <c r="H20" s="168"/>
    </row>
    <row r="21" spans="1:8" ht="12" customHeight="1" hidden="1">
      <c r="A21" s="159" t="s">
        <v>90</v>
      </c>
      <c r="B21" s="159"/>
      <c r="C21" s="159"/>
      <c r="D21" s="159"/>
      <c r="E21" s="159"/>
      <c r="F21" s="77" t="s">
        <v>8</v>
      </c>
      <c r="G21" s="121">
        <v>120</v>
      </c>
      <c r="H21" s="1" t="s">
        <v>88</v>
      </c>
    </row>
    <row r="22" spans="1:5" ht="12" customHeight="1" hidden="1">
      <c r="A22" s="159" t="s">
        <v>113</v>
      </c>
      <c r="B22" s="159"/>
      <c r="C22" s="159"/>
      <c r="D22" s="159"/>
      <c r="E22" s="159"/>
    </row>
    <row r="23" spans="1:8" ht="7.5" customHeight="1" hidden="1">
      <c r="A23" s="168"/>
      <c r="B23" s="168"/>
      <c r="C23" s="168"/>
      <c r="D23" s="168"/>
      <c r="E23" s="168"/>
      <c r="F23" s="168"/>
      <c r="G23" s="168"/>
      <c r="H23" s="168"/>
    </row>
    <row r="24" spans="1:8" ht="12" customHeight="1" hidden="1">
      <c r="A24" s="177" t="s">
        <v>114</v>
      </c>
      <c r="B24" s="177"/>
      <c r="C24" s="177"/>
      <c r="D24" s="177"/>
      <c r="E24" s="177"/>
      <c r="F24" s="177"/>
      <c r="G24" s="177"/>
      <c r="H24" s="177"/>
    </row>
    <row r="25" spans="1:8" ht="7.5" customHeight="1" hidden="1">
      <c r="A25" s="168"/>
      <c r="B25" s="168"/>
      <c r="C25" s="168"/>
      <c r="D25" s="168"/>
      <c r="E25" s="168"/>
      <c r="F25" s="168"/>
      <c r="G25" s="168"/>
      <c r="H25" s="168"/>
    </row>
    <row r="26" spans="1:8" ht="12" customHeight="1" hidden="1">
      <c r="A26" s="159" t="s">
        <v>109</v>
      </c>
      <c r="B26" s="159"/>
      <c r="C26" s="159"/>
      <c r="D26" s="159"/>
      <c r="E26" s="159"/>
      <c r="F26" s="159"/>
      <c r="G26" s="159"/>
      <c r="H26" s="159"/>
    </row>
    <row r="27" spans="1:8" ht="7.5" customHeight="1" hidden="1">
      <c r="A27" s="168"/>
      <c r="B27" s="168"/>
      <c r="C27" s="168"/>
      <c r="D27" s="168"/>
      <c r="E27" s="168"/>
      <c r="F27" s="168"/>
      <c r="G27" s="168"/>
      <c r="H27" s="168"/>
    </row>
    <row r="28" spans="1:8" ht="12" customHeight="1" hidden="1">
      <c r="A28" s="177" t="s">
        <v>91</v>
      </c>
      <c r="B28" s="177"/>
      <c r="C28" s="177" t="s">
        <v>115</v>
      </c>
      <c r="D28" s="177"/>
      <c r="E28" s="177"/>
      <c r="F28" s="177"/>
      <c r="G28" s="177"/>
      <c r="H28" s="177"/>
    </row>
    <row r="29" spans="1:8" ht="12" customHeight="1" hidden="1">
      <c r="A29" s="177" t="s">
        <v>92</v>
      </c>
      <c r="B29" s="177"/>
      <c r="C29" s="177"/>
      <c r="D29" s="177"/>
      <c r="E29" s="177"/>
      <c r="F29" s="177"/>
      <c r="G29" s="177"/>
      <c r="H29" s="177"/>
    </row>
    <row r="30" spans="1:8" ht="7.5" customHeight="1" hidden="1">
      <c r="A30" s="168"/>
      <c r="B30" s="168"/>
      <c r="C30" s="168"/>
      <c r="D30" s="168"/>
      <c r="E30" s="168"/>
      <c r="F30" s="168"/>
      <c r="G30" s="168"/>
      <c r="H30" s="168"/>
    </row>
    <row r="31" spans="1:10" ht="12" customHeight="1" hidden="1">
      <c r="A31" s="177" t="s">
        <v>110</v>
      </c>
      <c r="B31" s="177"/>
      <c r="C31" s="177"/>
      <c r="D31" s="177"/>
      <c r="E31" s="177"/>
      <c r="F31" s="177"/>
      <c r="G31" s="177"/>
      <c r="H31" s="177"/>
      <c r="I31" s="108"/>
      <c r="J31" s="108"/>
    </row>
    <row r="32" spans="1:8" ht="7.5" customHeight="1" hidden="1">
      <c r="A32" s="168"/>
      <c r="B32" s="168"/>
      <c r="C32" s="168"/>
      <c r="D32" s="168"/>
      <c r="E32" s="168"/>
      <c r="F32" s="168"/>
      <c r="G32" s="168"/>
      <c r="H32" s="168"/>
    </row>
    <row r="33" spans="1:7" ht="12" customHeight="1" hidden="1">
      <c r="A33" s="159" t="s">
        <v>93</v>
      </c>
      <c r="B33" s="159"/>
      <c r="C33" s="159"/>
      <c r="D33" s="159"/>
      <c r="F33" s="77" t="s">
        <v>8</v>
      </c>
      <c r="G33" s="77">
        <v>3</v>
      </c>
    </row>
    <row r="34" spans="1:7" ht="12" customHeight="1" hidden="1">
      <c r="A34" s="159" t="s">
        <v>94</v>
      </c>
      <c r="B34" s="159"/>
      <c r="C34" s="159"/>
      <c r="D34" s="159"/>
      <c r="F34" s="77" t="s">
        <v>8</v>
      </c>
      <c r="G34" s="77">
        <v>3</v>
      </c>
    </row>
    <row r="35" spans="1:7" ht="12" customHeight="1" hidden="1">
      <c r="A35" s="159" t="s">
        <v>95</v>
      </c>
      <c r="B35" s="159"/>
      <c r="C35" s="159"/>
      <c r="D35" s="159"/>
      <c r="F35" s="77" t="s">
        <v>8</v>
      </c>
      <c r="G35" s="77">
        <v>2</v>
      </c>
    </row>
    <row r="36" spans="1:7" ht="12" customHeight="1" hidden="1">
      <c r="A36" s="159" t="s">
        <v>96</v>
      </c>
      <c r="B36" s="159"/>
      <c r="C36" s="159"/>
      <c r="D36" s="159"/>
      <c r="F36" s="77" t="s">
        <v>8</v>
      </c>
      <c r="G36" s="77">
        <v>1.5</v>
      </c>
    </row>
    <row r="37" spans="1:7" ht="12" customHeight="1" hidden="1">
      <c r="A37" s="159" t="s">
        <v>116</v>
      </c>
      <c r="B37" s="159"/>
      <c r="C37" s="159"/>
      <c r="D37" s="159"/>
      <c r="F37" s="77" t="s">
        <v>8</v>
      </c>
      <c r="G37" s="77">
        <v>1.5</v>
      </c>
    </row>
    <row r="38" spans="1:9" ht="12" customHeight="1" hidden="1">
      <c r="A38" s="159" t="s">
        <v>97</v>
      </c>
      <c r="B38" s="159"/>
      <c r="C38" s="159"/>
      <c r="D38" s="159"/>
      <c r="F38" s="77" t="s">
        <v>8</v>
      </c>
      <c r="G38" s="77">
        <v>1</v>
      </c>
      <c r="H38" s="108"/>
      <c r="I38" s="108"/>
    </row>
    <row r="39" spans="1:8" ht="7.5" customHeight="1" hidden="1">
      <c r="A39" s="168"/>
      <c r="B39" s="168"/>
      <c r="C39" s="168"/>
      <c r="D39" s="168"/>
      <c r="E39" s="168"/>
      <c r="F39" s="168"/>
      <c r="G39" s="168"/>
      <c r="H39" s="168"/>
    </row>
    <row r="40" spans="1:5" ht="12" customHeight="1" hidden="1">
      <c r="A40" s="159" t="s">
        <v>111</v>
      </c>
      <c r="B40" s="159"/>
      <c r="C40" s="159"/>
      <c r="D40" s="159"/>
      <c r="E40" s="159"/>
    </row>
    <row r="41" spans="1:8" ht="7.5" customHeight="1" hidden="1">
      <c r="A41" s="168"/>
      <c r="B41" s="168"/>
      <c r="C41" s="168"/>
      <c r="D41" s="168"/>
      <c r="E41" s="168"/>
      <c r="F41" s="168"/>
      <c r="G41" s="168"/>
      <c r="H41" s="168"/>
    </row>
    <row r="42" spans="1:8" ht="12" customHeight="1" hidden="1">
      <c r="A42" s="184" t="s">
        <v>112</v>
      </c>
      <c r="B42" s="184"/>
      <c r="C42" s="184"/>
      <c r="D42" s="184"/>
      <c r="E42" s="184"/>
      <c r="F42" s="184"/>
      <c r="G42" s="184"/>
      <c r="H42" s="184"/>
    </row>
    <row r="43" spans="1:8" ht="7.5" customHeight="1" hidden="1">
      <c r="A43" s="168"/>
      <c r="B43" s="168"/>
      <c r="C43" s="168"/>
      <c r="D43" s="168"/>
      <c r="E43" s="168"/>
      <c r="F43" s="168"/>
      <c r="G43" s="168"/>
      <c r="H43" s="168"/>
    </row>
    <row r="44" spans="6:8" ht="12" customHeight="1" hidden="1">
      <c r="F44" s="77" t="s">
        <v>8</v>
      </c>
      <c r="G44" s="77">
        <f>G5*3+G7*3+G10*3+G12*1.5+G15*1.5+G17*2+G19*1+G21*1</f>
        <v>17220</v>
      </c>
      <c r="H44" s="1" t="s">
        <v>88</v>
      </c>
    </row>
    <row r="45" spans="1:8" ht="7.5" customHeight="1" hidden="1">
      <c r="A45" s="168"/>
      <c r="B45" s="168"/>
      <c r="C45" s="168"/>
      <c r="D45" s="168"/>
      <c r="E45" s="168"/>
      <c r="F45" s="168"/>
      <c r="G45" s="168"/>
      <c r="H45" s="168"/>
    </row>
    <row r="46" ht="12" customHeight="1" hidden="1">
      <c r="A46" s="1" t="s">
        <v>98</v>
      </c>
    </row>
    <row r="47" spans="1:8" ht="7.5" customHeight="1" hidden="1">
      <c r="A47" s="168"/>
      <c r="B47" s="168"/>
      <c r="C47" s="168"/>
      <c r="D47" s="168"/>
      <c r="E47" s="168"/>
      <c r="F47" s="168"/>
      <c r="G47" s="168"/>
      <c r="H47" s="168"/>
    </row>
    <row r="48" spans="1:8" ht="12" customHeight="1" hidden="1">
      <c r="A48" s="159" t="s">
        <v>99</v>
      </c>
      <c r="B48" s="159"/>
      <c r="C48" s="159"/>
      <c r="F48" s="77" t="s">
        <v>8</v>
      </c>
      <c r="G48" s="77">
        <f>G44*1.2</f>
        <v>20664</v>
      </c>
      <c r="H48" s="77" t="s">
        <v>88</v>
      </c>
    </row>
    <row r="49" ht="12" customHeight="1" hidden="1">
      <c r="H49" s="77"/>
    </row>
    <row r="50" spans="5:8" ht="12" customHeight="1" hidden="1">
      <c r="E50" s="77" t="s">
        <v>17</v>
      </c>
      <c r="F50" s="77" t="s">
        <v>8</v>
      </c>
      <c r="G50" s="77">
        <v>18000</v>
      </c>
      <c r="H50" s="77" t="s">
        <v>88</v>
      </c>
    </row>
    <row r="51" spans="1:8" ht="7.5" customHeight="1">
      <c r="A51" s="168"/>
      <c r="B51" s="168"/>
      <c r="C51" s="168"/>
      <c r="D51" s="168"/>
      <c r="E51" s="168"/>
      <c r="F51" s="168"/>
      <c r="G51" s="168"/>
      <c r="H51" s="168"/>
    </row>
    <row r="52" spans="1:5" ht="12" customHeight="1">
      <c r="A52" s="160" t="s">
        <v>117</v>
      </c>
      <c r="B52" s="160"/>
      <c r="C52" s="160"/>
      <c r="E52" s="77"/>
    </row>
    <row r="53" spans="1:8" ht="7.5" customHeight="1">
      <c r="A53" s="168"/>
      <c r="B53" s="168"/>
      <c r="C53" s="168"/>
      <c r="D53" s="168"/>
      <c r="E53" s="168"/>
      <c r="F53" s="168"/>
      <c r="G53" s="168"/>
      <c r="H53" s="168"/>
    </row>
    <row r="54" spans="1:8" ht="12" customHeight="1">
      <c r="A54" s="159" t="s">
        <v>100</v>
      </c>
      <c r="B54" s="159"/>
      <c r="C54" s="159"/>
      <c r="D54" s="159"/>
      <c r="E54" s="77"/>
      <c r="F54" s="77" t="s">
        <v>8</v>
      </c>
      <c r="G54" s="168" t="s">
        <v>126</v>
      </c>
      <c r="H54" s="168"/>
    </row>
    <row r="55" spans="1:8" ht="7.5" customHeight="1">
      <c r="A55" s="168"/>
      <c r="B55" s="168"/>
      <c r="C55" s="168"/>
      <c r="D55" s="168"/>
      <c r="E55" s="168"/>
      <c r="F55" s="168"/>
      <c r="G55" s="168"/>
      <c r="H55" s="168"/>
    </row>
    <row r="56" spans="6:8" ht="12" customHeight="1">
      <c r="F56" s="77" t="s">
        <v>8</v>
      </c>
      <c r="G56" s="77">
        <f>G5</f>
        <v>2550</v>
      </c>
      <c r="H56" s="1" t="s">
        <v>101</v>
      </c>
    </row>
    <row r="57" spans="1:8" ht="7.5" customHeight="1">
      <c r="A57" s="168"/>
      <c r="B57" s="168"/>
      <c r="C57" s="168"/>
      <c r="D57" s="168"/>
      <c r="E57" s="168"/>
      <c r="F57" s="168"/>
      <c r="G57" s="168"/>
      <c r="H57" s="168"/>
    </row>
    <row r="58" spans="1:8" ht="12" customHeight="1">
      <c r="A58" s="159" t="s">
        <v>102</v>
      </c>
      <c r="B58" s="159"/>
      <c r="C58" s="159"/>
      <c r="D58" s="159"/>
      <c r="E58" s="159"/>
      <c r="F58" s="77" t="s">
        <v>103</v>
      </c>
      <c r="G58" s="77">
        <f>1.25*G56</f>
        <v>3187.5</v>
      </c>
      <c r="H58" s="1" t="s">
        <v>88</v>
      </c>
    </row>
    <row r="59" spans="1:8" ht="7.5" customHeight="1">
      <c r="A59" s="168"/>
      <c r="B59" s="168"/>
      <c r="C59" s="168"/>
      <c r="D59" s="168"/>
      <c r="E59" s="168"/>
      <c r="F59" s="168"/>
      <c r="G59" s="168"/>
      <c r="H59" s="168"/>
    </row>
    <row r="60" spans="5:8" ht="12" customHeight="1">
      <c r="E60" s="77" t="s">
        <v>17</v>
      </c>
      <c r="F60" s="77" t="s">
        <v>103</v>
      </c>
      <c r="G60" s="77">
        <v>5000</v>
      </c>
      <c r="H60" s="1" t="s">
        <v>88</v>
      </c>
    </row>
    <row r="61" spans="1:8" ht="7.5" customHeight="1">
      <c r="A61" s="168"/>
      <c r="B61" s="168"/>
      <c r="C61" s="168"/>
      <c r="D61" s="168"/>
      <c r="E61" s="168"/>
      <c r="F61" s="168"/>
      <c r="G61" s="168"/>
      <c r="H61" s="168"/>
    </row>
    <row r="62" spans="1:7" ht="15.75" customHeight="1">
      <c r="A62" s="160" t="s">
        <v>135</v>
      </c>
      <c r="B62" s="160"/>
      <c r="C62" s="160"/>
      <c r="D62" s="160"/>
      <c r="E62" s="160"/>
      <c r="F62" s="160"/>
      <c r="G62" s="160"/>
    </row>
    <row r="63" spans="1:8" ht="7.5" customHeight="1">
      <c r="A63" s="168"/>
      <c r="B63" s="168"/>
      <c r="C63" s="168"/>
      <c r="D63" s="168"/>
      <c r="E63" s="168"/>
      <c r="F63" s="168"/>
      <c r="G63" s="168"/>
      <c r="H63" s="168"/>
    </row>
    <row r="64" spans="1:4" ht="12.75">
      <c r="A64" s="1" t="s">
        <v>104</v>
      </c>
      <c r="D64" s="1" t="s">
        <v>105</v>
      </c>
    </row>
  </sheetData>
  <sheetProtection/>
  <mergeCells count="57">
    <mergeCell ref="A47:H47"/>
    <mergeCell ref="A15:E15"/>
    <mergeCell ref="A13:E13"/>
    <mergeCell ref="A5:E5"/>
    <mergeCell ref="A7:E7"/>
    <mergeCell ref="A32:H32"/>
    <mergeCell ref="A17:E17"/>
    <mergeCell ref="A35:D35"/>
    <mergeCell ref="A36:D36"/>
    <mergeCell ref="A12:E12"/>
    <mergeCell ref="A25:H25"/>
    <mergeCell ref="A1:H1"/>
    <mergeCell ref="A3:H3"/>
    <mergeCell ref="A8:E8"/>
    <mergeCell ref="A10:E10"/>
    <mergeCell ref="A6:H6"/>
    <mergeCell ref="A9:H9"/>
    <mergeCell ref="A28:B28"/>
    <mergeCell ref="A11:H11"/>
    <mergeCell ref="A43:H43"/>
    <mergeCell ref="A33:D33"/>
    <mergeCell ref="C28:H29"/>
    <mergeCell ref="A14:H14"/>
    <mergeCell ref="A27:H27"/>
    <mergeCell ref="A22:E22"/>
    <mergeCell ref="A29:B29"/>
    <mergeCell ref="A31:H31"/>
    <mergeCell ref="A45:H45"/>
    <mergeCell ref="A30:H30"/>
    <mergeCell ref="A19:E19"/>
    <mergeCell ref="A26:H26"/>
    <mergeCell ref="A38:D38"/>
    <mergeCell ref="A42:H42"/>
    <mergeCell ref="A21:E21"/>
    <mergeCell ref="A41:H41"/>
    <mergeCell ref="A37:D37"/>
    <mergeCell ref="A40:E40"/>
    <mergeCell ref="A54:D54"/>
    <mergeCell ref="A34:D34"/>
    <mergeCell ref="A59:H59"/>
    <mergeCell ref="A16:H16"/>
    <mergeCell ref="A18:H18"/>
    <mergeCell ref="A20:H20"/>
    <mergeCell ref="A23:H23"/>
    <mergeCell ref="A58:E58"/>
    <mergeCell ref="A24:H24"/>
    <mergeCell ref="A48:C48"/>
    <mergeCell ref="A52:C52"/>
    <mergeCell ref="A39:H39"/>
    <mergeCell ref="A61:H61"/>
    <mergeCell ref="A63:H63"/>
    <mergeCell ref="A51:H51"/>
    <mergeCell ref="A53:H53"/>
    <mergeCell ref="A55:H55"/>
    <mergeCell ref="A57:H57"/>
    <mergeCell ref="G54:H54"/>
    <mergeCell ref="A62:G62"/>
  </mergeCells>
  <printOptions/>
  <pageMargins left="0.75" right="0.75" top="1" bottom="1" header="0.5" footer="0.5"/>
  <pageSetup horizontalDpi="2400" verticalDpi="24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dc:creator>
  <cp:keywords/>
  <dc:description/>
  <cp:lastModifiedBy>IBM</cp:lastModifiedBy>
  <cp:lastPrinted>2010-06-24T09:44:52Z</cp:lastPrinted>
  <dcterms:created xsi:type="dcterms:W3CDTF">2008-02-19T10:40:53Z</dcterms:created>
  <dcterms:modified xsi:type="dcterms:W3CDTF">2010-08-26T10:00:23Z</dcterms:modified>
  <cp:category/>
  <cp:version/>
  <cp:contentType/>
  <cp:contentStatus/>
</cp:coreProperties>
</file>